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aldrin.dogani\Desktop\2026 DBF\TM 2026 RAPORTE\TM2 2026\"/>
    </mc:Choice>
  </mc:AlternateContent>
  <xr:revisionPtr revIDLastSave="0" documentId="13_ncr:1_{C6006BFC-DFC3-439E-8BCE-7351EDF9C2C1}" xr6:coauthVersionLast="47" xr6:coauthVersionMax="47" xr10:uidLastSave="{00000000-0000-0000-0000-000000000000}"/>
  <bookViews>
    <workbookView xWindow="16365" yWindow="255" windowWidth="13215" windowHeight="14835" firstSheet="2" activeTab="3" xr2:uid="{00000000-000D-0000-FFFF-FFFF00000000}"/>
  </bookViews>
  <sheets>
    <sheet name="Përmbledhje dhe shpenz. kateg." sheetId="1" r:id="rId1"/>
    <sheet name="Të Hyrat Vetanake" sheetId="10" r:id="rId2"/>
    <sheet name="Të Hyrat Vetanake PB" sheetId="2" r:id="rId3"/>
    <sheet name="Buxheti 2026" sheetId="9" r:id="rId4"/>
    <sheet name="M &amp; SH, KOMUNALI, SUBV. &amp; TR. " sheetId="5" r:id="rId5"/>
    <sheet name="Investime kapitale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6" i="1" l="1"/>
  <c r="I13" i="1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32" i="9"/>
  <c r="J33" i="9"/>
  <c r="J31" i="9"/>
  <c r="I10" i="1"/>
  <c r="I12" i="1"/>
  <c r="H10" i="1"/>
  <c r="G10" i="1"/>
  <c r="D26" i="10"/>
  <c r="D21" i="10"/>
  <c r="D18" i="10"/>
  <c r="H12" i="1"/>
  <c r="H11" i="1"/>
  <c r="I51" i="9"/>
  <c r="E51" i="9"/>
  <c r="F51" i="9"/>
  <c r="G51" i="9"/>
  <c r="H51" i="9"/>
  <c r="D51" i="9"/>
  <c r="C39" i="8"/>
  <c r="C30" i="8"/>
  <c r="B112" i="5"/>
  <c r="I66" i="5"/>
  <c r="I67" i="5"/>
  <c r="L67" i="5" s="1"/>
  <c r="I68" i="5"/>
  <c r="L68" i="5"/>
  <c r="B69" i="5"/>
  <c r="C69" i="5"/>
  <c r="D69" i="5"/>
  <c r="E69" i="5"/>
  <c r="F69" i="5"/>
  <c r="G69" i="5"/>
  <c r="H69" i="5"/>
  <c r="K69" i="5"/>
  <c r="I69" i="5" l="1"/>
  <c r="L69" i="5" s="1"/>
  <c r="L66" i="5"/>
  <c r="M58" i="5"/>
  <c r="J58" i="5"/>
  <c r="I58" i="5"/>
  <c r="H58" i="5"/>
  <c r="G58" i="5"/>
  <c r="F58" i="5"/>
  <c r="E58" i="5"/>
  <c r="D58" i="5"/>
  <c r="C58" i="5"/>
  <c r="B58" i="5"/>
  <c r="K57" i="5"/>
  <c r="K56" i="5"/>
  <c r="N56" i="5" s="1"/>
  <c r="K55" i="5"/>
  <c r="K54" i="5"/>
  <c r="E27" i="1"/>
  <c r="D27" i="1"/>
  <c r="B27" i="1"/>
  <c r="H26" i="1"/>
  <c r="G26" i="1"/>
  <c r="I25" i="1"/>
  <c r="H25" i="1"/>
  <c r="F25" i="1"/>
  <c r="I24" i="1"/>
  <c r="H24" i="1"/>
  <c r="G24" i="1"/>
  <c r="I23" i="1"/>
  <c r="H23" i="1"/>
  <c r="G23" i="1"/>
  <c r="I22" i="1"/>
  <c r="H22" i="1"/>
  <c r="I21" i="1"/>
  <c r="H21" i="1"/>
  <c r="G21" i="1"/>
  <c r="F21" i="1"/>
  <c r="K50" i="9"/>
  <c r="H50" i="9"/>
  <c r="G50" i="9"/>
  <c r="F50" i="9"/>
  <c r="E50" i="9"/>
  <c r="D50" i="9"/>
  <c r="C50" i="9"/>
  <c r="L49" i="9"/>
  <c r="I49" i="9"/>
  <c r="I48" i="9"/>
  <c r="L48" i="9" s="1"/>
  <c r="I47" i="9"/>
  <c r="L47" i="9" s="1"/>
  <c r="I46" i="9"/>
  <c r="L46" i="9" s="1"/>
  <c r="I45" i="9"/>
  <c r="L45" i="9" s="1"/>
  <c r="L44" i="9"/>
  <c r="I44" i="9"/>
  <c r="I43" i="9"/>
  <c r="L43" i="9" s="1"/>
  <c r="L42" i="9"/>
  <c r="I42" i="9"/>
  <c r="L41" i="9"/>
  <c r="I41" i="9"/>
  <c r="I40" i="9"/>
  <c r="L40" i="9" s="1"/>
  <c r="I39" i="9"/>
  <c r="L39" i="9" s="1"/>
  <c r="L38" i="9"/>
  <c r="I38" i="9"/>
  <c r="I37" i="9"/>
  <c r="L37" i="9" s="1"/>
  <c r="L36" i="9"/>
  <c r="I36" i="9"/>
  <c r="I35" i="9"/>
  <c r="L35" i="9" s="1"/>
  <c r="L34" i="9"/>
  <c r="I34" i="9"/>
  <c r="L33" i="9"/>
  <c r="I33" i="9"/>
  <c r="I32" i="9"/>
  <c r="L32" i="9" s="1"/>
  <c r="I31" i="9"/>
  <c r="I50" i="9" s="1"/>
  <c r="F12" i="1"/>
  <c r="F8" i="1"/>
  <c r="I8" i="1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B46" i="5"/>
  <c r="T46" i="5"/>
  <c r="R4" i="5"/>
  <c r="U4" i="5" s="1"/>
  <c r="R9" i="5"/>
  <c r="U9" i="5" s="1"/>
  <c r="R44" i="5"/>
  <c r="U44" i="5" s="1"/>
  <c r="C11" i="1"/>
  <c r="F11" i="1" s="1"/>
  <c r="J67" i="5" l="1"/>
  <c r="C70" i="5"/>
  <c r="I70" i="5"/>
  <c r="B70" i="5"/>
  <c r="J66" i="5"/>
  <c r="H70" i="5"/>
  <c r="E70" i="5"/>
  <c r="G70" i="5"/>
  <c r="J68" i="5"/>
  <c r="D70" i="5"/>
  <c r="F70" i="5"/>
  <c r="N57" i="5"/>
  <c r="K58" i="5"/>
  <c r="K59" i="5" s="1"/>
  <c r="C27" i="1"/>
  <c r="G27" i="1" s="1"/>
  <c r="I27" i="1"/>
  <c r="N54" i="5"/>
  <c r="N55" i="5"/>
  <c r="F22" i="1"/>
  <c r="G22" i="1"/>
  <c r="G25" i="1"/>
  <c r="H27" i="1"/>
  <c r="F23" i="1"/>
  <c r="F24" i="1"/>
  <c r="F27" i="1"/>
  <c r="L50" i="9"/>
  <c r="L31" i="9"/>
  <c r="L54" i="5" l="1"/>
  <c r="I59" i="5"/>
  <c r="D59" i="5"/>
  <c r="F59" i="5"/>
  <c r="L57" i="5"/>
  <c r="C59" i="5"/>
  <c r="L55" i="5"/>
  <c r="H59" i="5"/>
  <c r="J59" i="5"/>
  <c r="G59" i="5"/>
  <c r="N58" i="5"/>
  <c r="E59" i="5"/>
  <c r="B59" i="5"/>
  <c r="L56" i="5"/>
  <c r="C20" i="10"/>
  <c r="F32" i="2"/>
  <c r="E24" i="10" l="1"/>
  <c r="E23" i="10"/>
  <c r="C25" i="10" l="1"/>
  <c r="C24" i="10"/>
  <c r="C23" i="10"/>
  <c r="E17" i="2" l="1"/>
  <c r="E30" i="2"/>
  <c r="C25" i="8" l="1"/>
  <c r="D25" i="8"/>
  <c r="B25" i="8"/>
  <c r="B52" i="8"/>
  <c r="B46" i="8"/>
  <c r="B43" i="8"/>
  <c r="B41" i="8"/>
  <c r="B36" i="8"/>
  <c r="B28" i="8"/>
  <c r="B22" i="8"/>
  <c r="B10" i="8"/>
  <c r="B8" i="8"/>
  <c r="B4" i="8"/>
  <c r="R28" i="5"/>
  <c r="R6" i="5"/>
  <c r="R7" i="5"/>
  <c r="R8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9" i="5"/>
  <c r="R30" i="5"/>
  <c r="R31" i="5"/>
  <c r="R32" i="5"/>
  <c r="R33" i="5"/>
  <c r="R34" i="5"/>
  <c r="R35" i="5"/>
  <c r="R36" i="5"/>
  <c r="R37" i="5"/>
  <c r="R38" i="5"/>
  <c r="R39" i="5"/>
  <c r="U39" i="5" s="1"/>
  <c r="R40" i="5"/>
  <c r="U40" i="5" s="1"/>
  <c r="R41" i="5"/>
  <c r="U41" i="5" s="1"/>
  <c r="R42" i="5"/>
  <c r="U42" i="5" s="1"/>
  <c r="R43" i="5"/>
  <c r="U43" i="5" s="1"/>
  <c r="R45" i="5"/>
  <c r="R5" i="5"/>
  <c r="D7" i="1"/>
  <c r="E42" i="2"/>
  <c r="D42" i="2"/>
  <c r="E40" i="2"/>
  <c r="D40" i="2"/>
  <c r="E36" i="2"/>
  <c r="D36" i="2"/>
  <c r="E26" i="2"/>
  <c r="D26" i="2"/>
  <c r="E22" i="2"/>
  <c r="D22" i="2"/>
  <c r="E16" i="2"/>
  <c r="D16" i="2"/>
  <c r="E12" i="2"/>
  <c r="D12" i="2"/>
  <c r="E4" i="2"/>
  <c r="D4" i="2"/>
  <c r="F11" i="2"/>
  <c r="U32" i="5" l="1"/>
  <c r="U17" i="5"/>
  <c r="U33" i="5"/>
  <c r="U16" i="5"/>
  <c r="U15" i="5"/>
  <c r="U31" i="5"/>
  <c r="U22" i="5"/>
  <c r="U13" i="5"/>
  <c r="U37" i="5"/>
  <c r="U29" i="5"/>
  <c r="U20" i="5"/>
  <c r="U12" i="5"/>
  <c r="U34" i="5"/>
  <c r="U8" i="5"/>
  <c r="U6" i="5"/>
  <c r="U28" i="5"/>
  <c r="U30" i="5"/>
  <c r="U45" i="5"/>
  <c r="U27" i="5"/>
  <c r="U19" i="5"/>
  <c r="U11" i="5"/>
  <c r="U25" i="5"/>
  <c r="U24" i="5"/>
  <c r="U7" i="5"/>
  <c r="U23" i="5"/>
  <c r="U14" i="5"/>
  <c r="U38" i="5"/>
  <c r="U21" i="5"/>
  <c r="U5" i="5"/>
  <c r="R46" i="5"/>
  <c r="S17" i="5" s="1"/>
  <c r="U36" i="5"/>
  <c r="S36" i="5"/>
  <c r="U35" i="5"/>
  <c r="U26" i="5"/>
  <c r="U18" i="5"/>
  <c r="U10" i="5"/>
  <c r="B55" i="8"/>
  <c r="F5" i="1"/>
  <c r="F6" i="1"/>
  <c r="F4" i="1"/>
  <c r="E5" i="1"/>
  <c r="E6" i="1"/>
  <c r="E4" i="1"/>
  <c r="G13" i="1"/>
  <c r="D13" i="1"/>
  <c r="C13" i="1"/>
  <c r="B13" i="1"/>
  <c r="E12" i="1"/>
  <c r="E11" i="1"/>
  <c r="D10" i="1"/>
  <c r="C10" i="1"/>
  <c r="B10" i="1"/>
  <c r="H9" i="1"/>
  <c r="E9" i="1"/>
  <c r="H8" i="1"/>
  <c r="E8" i="1"/>
  <c r="G7" i="1"/>
  <c r="C7" i="1"/>
  <c r="B7" i="1"/>
  <c r="I6" i="1"/>
  <c r="H6" i="1"/>
  <c r="I5" i="1"/>
  <c r="H5" i="1"/>
  <c r="I4" i="1"/>
  <c r="H4" i="1"/>
  <c r="F54" i="8"/>
  <c r="E54" i="8"/>
  <c r="F53" i="8"/>
  <c r="E53" i="8"/>
  <c r="G52" i="8"/>
  <c r="D52" i="8"/>
  <c r="C52" i="8"/>
  <c r="F51" i="8"/>
  <c r="E51" i="8"/>
  <c r="F50" i="8"/>
  <c r="E50" i="8"/>
  <c r="F49" i="8"/>
  <c r="E49" i="8"/>
  <c r="F48" i="8"/>
  <c r="E48" i="8"/>
  <c r="F47" i="8"/>
  <c r="E47" i="8"/>
  <c r="G46" i="8"/>
  <c r="D46" i="8"/>
  <c r="C46" i="8"/>
  <c r="F45" i="8"/>
  <c r="E45" i="8"/>
  <c r="F44" i="8"/>
  <c r="E44" i="8"/>
  <c r="G43" i="8"/>
  <c r="D43" i="8"/>
  <c r="C43" i="8"/>
  <c r="F42" i="8"/>
  <c r="E42" i="8"/>
  <c r="G41" i="8"/>
  <c r="D41" i="8"/>
  <c r="C41" i="8"/>
  <c r="F40" i="8"/>
  <c r="E40" i="8"/>
  <c r="F39" i="8"/>
  <c r="E39" i="8"/>
  <c r="F38" i="8"/>
  <c r="E38" i="8"/>
  <c r="F37" i="8"/>
  <c r="E37" i="8"/>
  <c r="G36" i="8"/>
  <c r="D36" i="8"/>
  <c r="C36" i="8"/>
  <c r="F35" i="8"/>
  <c r="E35" i="8"/>
  <c r="F34" i="8"/>
  <c r="E34" i="8"/>
  <c r="F33" i="8"/>
  <c r="E33" i="8"/>
  <c r="F32" i="8"/>
  <c r="E32" i="8"/>
  <c r="F31" i="8"/>
  <c r="E31" i="8"/>
  <c r="F30" i="8"/>
  <c r="E30" i="8"/>
  <c r="F29" i="8"/>
  <c r="E29" i="8"/>
  <c r="G28" i="8"/>
  <c r="D28" i="8"/>
  <c r="C28" i="8"/>
  <c r="F27" i="8"/>
  <c r="E27" i="8"/>
  <c r="F26" i="8"/>
  <c r="E26" i="8"/>
  <c r="G25" i="8"/>
  <c r="F24" i="8"/>
  <c r="E24" i="8"/>
  <c r="F23" i="8"/>
  <c r="E23" i="8"/>
  <c r="G22" i="8"/>
  <c r="D22" i="8"/>
  <c r="C22" i="8"/>
  <c r="F21" i="8"/>
  <c r="E21" i="8"/>
  <c r="F20" i="8"/>
  <c r="E20" i="8"/>
  <c r="F19" i="8"/>
  <c r="E19" i="8"/>
  <c r="F18" i="8"/>
  <c r="E18" i="8"/>
  <c r="F17" i="8"/>
  <c r="E17" i="8"/>
  <c r="F16" i="8"/>
  <c r="E16" i="8"/>
  <c r="F15" i="8"/>
  <c r="E15" i="8"/>
  <c r="F14" i="8"/>
  <c r="E14" i="8"/>
  <c r="F13" i="8"/>
  <c r="E13" i="8"/>
  <c r="F12" i="8"/>
  <c r="E12" i="8"/>
  <c r="F11" i="8"/>
  <c r="E11" i="8"/>
  <c r="G10" i="8"/>
  <c r="D10" i="8"/>
  <c r="C10" i="8"/>
  <c r="F9" i="8"/>
  <c r="E9" i="8"/>
  <c r="G8" i="8"/>
  <c r="D8" i="8"/>
  <c r="C8" i="8"/>
  <c r="F7" i="8"/>
  <c r="E7" i="8"/>
  <c r="F6" i="8"/>
  <c r="E6" i="8"/>
  <c r="F5" i="8"/>
  <c r="E5" i="8"/>
  <c r="G4" i="8"/>
  <c r="D4" i="8"/>
  <c r="C4" i="8"/>
  <c r="S14" i="5" l="1"/>
  <c r="S31" i="5"/>
  <c r="S29" i="5"/>
  <c r="S10" i="5"/>
  <c r="S24" i="5"/>
  <c r="S21" i="5"/>
  <c r="S6" i="5"/>
  <c r="S7" i="5"/>
  <c r="S27" i="5"/>
  <c r="S8" i="5"/>
  <c r="S18" i="5"/>
  <c r="S13" i="5"/>
  <c r="S33" i="5"/>
  <c r="S26" i="5"/>
  <c r="S12" i="5"/>
  <c r="S22" i="5"/>
  <c r="S25" i="5"/>
  <c r="S28" i="5"/>
  <c r="S35" i="5"/>
  <c r="S38" i="5"/>
  <c r="S45" i="5"/>
  <c r="S16" i="5"/>
  <c r="S19" i="5"/>
  <c r="S20" i="5"/>
  <c r="S5" i="5"/>
  <c r="S4" i="5"/>
  <c r="S9" i="5"/>
  <c r="B47" i="5"/>
  <c r="S23" i="5"/>
  <c r="S11" i="5"/>
  <c r="S30" i="5"/>
  <c r="S34" i="5"/>
  <c r="S37" i="5"/>
  <c r="S15" i="5"/>
  <c r="S32" i="5"/>
  <c r="F10" i="1"/>
  <c r="F13" i="1"/>
  <c r="F7" i="1"/>
  <c r="I7" i="1"/>
  <c r="E10" i="1"/>
  <c r="E13" i="1"/>
  <c r="E28" i="8"/>
  <c r="H13" i="1"/>
  <c r="C14" i="1"/>
  <c r="B14" i="1"/>
  <c r="H7" i="1"/>
  <c r="G14" i="1"/>
  <c r="E7" i="1"/>
  <c r="D14" i="1"/>
  <c r="E41" i="8"/>
  <c r="E43" i="8"/>
  <c r="E22" i="8"/>
  <c r="F25" i="8"/>
  <c r="F36" i="8"/>
  <c r="F52" i="8"/>
  <c r="E8" i="8"/>
  <c r="E10" i="8"/>
  <c r="F46" i="8"/>
  <c r="F10" i="8"/>
  <c r="F43" i="8"/>
  <c r="E52" i="8"/>
  <c r="D55" i="8"/>
  <c r="G55" i="8"/>
  <c r="E25" i="8"/>
  <c r="E36" i="8"/>
  <c r="F41" i="8"/>
  <c r="E46" i="8"/>
  <c r="F8" i="8"/>
  <c r="F28" i="8"/>
  <c r="F22" i="8"/>
  <c r="C55" i="8"/>
  <c r="E4" i="8"/>
  <c r="F4" i="8"/>
  <c r="F14" i="1" l="1"/>
  <c r="E14" i="1"/>
  <c r="H14" i="1"/>
  <c r="I14" i="1"/>
  <c r="E55" i="8"/>
  <c r="F55" i="8"/>
  <c r="E44" i="2" l="1"/>
  <c r="D44" i="2"/>
  <c r="F5" i="2"/>
  <c r="F6" i="2"/>
  <c r="F7" i="2"/>
  <c r="F8" i="2"/>
  <c r="F9" i="2"/>
  <c r="F10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3" i="2"/>
  <c r="F34" i="2"/>
  <c r="F35" i="2"/>
  <c r="F36" i="2"/>
  <c r="F37" i="2"/>
  <c r="F38" i="2"/>
  <c r="F39" i="2"/>
  <c r="F40" i="2"/>
  <c r="F41" i="2"/>
  <c r="F42" i="2"/>
  <c r="F43" i="2"/>
  <c r="F4" i="2"/>
  <c r="E26" i="10"/>
  <c r="C26" i="10"/>
  <c r="F25" i="10"/>
  <c r="F24" i="10"/>
  <c r="F23" i="10"/>
  <c r="F20" i="10"/>
  <c r="E20" i="10"/>
  <c r="B20" i="10"/>
  <c r="D20" i="10" s="1"/>
  <c r="F19" i="10"/>
  <c r="D19" i="10"/>
  <c r="F18" i="10"/>
  <c r="F17" i="10"/>
  <c r="D17" i="10"/>
  <c r="F16" i="10"/>
  <c r="D16" i="10"/>
  <c r="F15" i="10"/>
  <c r="D15" i="10"/>
  <c r="E14" i="10"/>
  <c r="C14" i="10"/>
  <c r="D14" i="10" s="1"/>
  <c r="F13" i="10"/>
  <c r="D13" i="10"/>
  <c r="F12" i="10"/>
  <c r="D12" i="10"/>
  <c r="F11" i="10"/>
  <c r="D11" i="10"/>
  <c r="F10" i="10"/>
  <c r="D10" i="10"/>
  <c r="F9" i="10"/>
  <c r="D9" i="10"/>
  <c r="E8" i="10"/>
  <c r="C8" i="10"/>
  <c r="F7" i="10"/>
  <c r="D7" i="10"/>
  <c r="F6" i="10"/>
  <c r="E5" i="10"/>
  <c r="C5" i="10"/>
  <c r="B5" i="10"/>
  <c r="F44" i="2" l="1"/>
  <c r="F8" i="10"/>
  <c r="F26" i="10"/>
  <c r="B22" i="10"/>
  <c r="B4" i="10" s="1"/>
  <c r="F14" i="10"/>
  <c r="C22" i="10"/>
  <c r="D8" i="10"/>
  <c r="D5" i="10"/>
  <c r="F5" i="10"/>
  <c r="E22" i="10"/>
  <c r="E4" i="10" s="1"/>
  <c r="C4" i="10" l="1"/>
  <c r="F4" i="10" s="1"/>
  <c r="D22" i="10"/>
  <c r="F22" i="10"/>
  <c r="H23" i="9"/>
  <c r="G23" i="9"/>
  <c r="F23" i="9"/>
  <c r="E23" i="9"/>
  <c r="D23" i="9"/>
  <c r="C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D4" i="10" l="1"/>
  <c r="I23" i="9"/>
  <c r="J16" i="9" s="1"/>
  <c r="D24" i="9" l="1"/>
  <c r="I24" i="9"/>
  <c r="H24" i="9"/>
  <c r="G24" i="9"/>
  <c r="J11" i="9"/>
  <c r="J13" i="9"/>
  <c r="J5" i="9"/>
  <c r="J19" i="9"/>
  <c r="J15" i="9"/>
  <c r="J9" i="9"/>
  <c r="F24" i="9"/>
  <c r="J7" i="9"/>
  <c r="J17" i="9"/>
  <c r="J8" i="9"/>
  <c r="J20" i="9"/>
  <c r="J22" i="9"/>
  <c r="J12" i="9"/>
  <c r="J6" i="9"/>
  <c r="J4" i="9"/>
  <c r="J18" i="9"/>
  <c r="J10" i="9"/>
  <c r="J14" i="9"/>
  <c r="E24" i="9"/>
  <c r="J21" i="9"/>
  <c r="S44" i="5" l="1"/>
  <c r="J47" i="5"/>
  <c r="N47" i="5"/>
  <c r="H47" i="5"/>
  <c r="U46" i="5"/>
  <c r="E47" i="5"/>
  <c r="G47" i="5"/>
  <c r="K47" i="5"/>
  <c r="Q47" i="5"/>
  <c r="P47" i="5"/>
  <c r="O47" i="5"/>
  <c r="F47" i="5"/>
  <c r="L47" i="5"/>
  <c r="R47" i="5"/>
  <c r="D47" i="5"/>
  <c r="I47" i="5"/>
  <c r="M47" i="5"/>
  <c r="C47" i="5"/>
  <c r="S43" i="5"/>
  <c r="S42" i="5"/>
  <c r="S40" i="5"/>
  <c r="S41" i="5"/>
  <c r="S39" i="5"/>
</calcChain>
</file>

<file path=xl/sharedStrings.xml><?xml version="1.0" encoding="utf-8"?>
<sst xmlns="http://schemas.openxmlformats.org/spreadsheetml/2006/main" count="416" uniqueCount="310">
  <si>
    <t>11 Paga dhe Shtesa</t>
  </si>
  <si>
    <t>13 Mallra dhe Shërbime</t>
  </si>
  <si>
    <t>14 Shpenzime komunale</t>
  </si>
  <si>
    <t>20 Subvencione dhe Transfere</t>
  </si>
  <si>
    <t>30 Investime kapitale / Pasuritë jofinanciare</t>
  </si>
  <si>
    <t>Gjithsej</t>
  </si>
  <si>
    <t>Kodi dhe emri i programit buxhetor</t>
  </si>
  <si>
    <t>16328 Administrata</t>
  </si>
  <si>
    <t>17528 Buxheti</t>
  </si>
  <si>
    <t>18028 Shërbime Publike - Infrastruktura Rrugore</t>
  </si>
  <si>
    <t>47028 Bujqësia</t>
  </si>
  <si>
    <t>66445 Planifikimi Urbanizmi Inspekcioni</t>
  </si>
  <si>
    <t>74700 Shërbimet e Kujdesit Primar Shëndetësor</t>
  </si>
  <si>
    <t>92750 Arsimi Parafillor Çerdhet</t>
  </si>
  <si>
    <t>Përshkrimi</t>
  </si>
  <si>
    <t>40110</t>
  </si>
  <si>
    <t>50001</t>
  </si>
  <si>
    <t>50008</t>
  </si>
  <si>
    <t>50009</t>
  </si>
  <si>
    <t>50012</t>
  </si>
  <si>
    <t>50013</t>
  </si>
  <si>
    <t>50014</t>
  </si>
  <si>
    <t>50016</t>
  </si>
  <si>
    <t>50017</t>
  </si>
  <si>
    <t>50019</t>
  </si>
  <si>
    <t>50024</t>
  </si>
  <si>
    <t>50025</t>
  </si>
  <si>
    <t>50026</t>
  </si>
  <si>
    <t>50032</t>
  </si>
  <si>
    <t>50045</t>
  </si>
  <si>
    <t>50104</t>
  </si>
  <si>
    <t>50405</t>
  </si>
  <si>
    <t>50408</t>
  </si>
  <si>
    <t>50409</t>
  </si>
  <si>
    <t>50460</t>
  </si>
  <si>
    <t>50504</t>
  </si>
  <si>
    <t>Nr.</t>
  </si>
  <si>
    <t>Kodi dhe kategoria ekonomike</t>
  </si>
  <si>
    <t>Stafi</t>
  </si>
  <si>
    <t>Paga dhe Shtesa (€)</t>
  </si>
  <si>
    <t>Mallra dhe Shërbime (€)</t>
  </si>
  <si>
    <t>Shpenzime komunale (€)</t>
  </si>
  <si>
    <t>Subvencione dhe Transfere (€)</t>
  </si>
  <si>
    <t>Investime kapitale (€)</t>
  </si>
  <si>
    <t>Gjithsej (€)</t>
  </si>
  <si>
    <t>Struktura (%)</t>
  </si>
  <si>
    <t>16028 Zyra e Kryetarit</t>
  </si>
  <si>
    <t>16528 Çështje Gjinore</t>
  </si>
  <si>
    <t>16928 Zyra e Kuvendit Komunal</t>
  </si>
  <si>
    <t>18432 Zjarrfikësit Inspektimet</t>
  </si>
  <si>
    <t>19640 Zyra Lokale e Komuniteteve</t>
  </si>
  <si>
    <t>48028 Planifikimi dhe Zhvillimi Ekonomik</t>
  </si>
  <si>
    <t>73037 Administrata (Sh)</t>
  </si>
  <si>
    <t>75636 Sherbimet Sociale</t>
  </si>
  <si>
    <t>85028 Shërbimet Kulturore</t>
  </si>
  <si>
    <t>92140 Administrata (A)</t>
  </si>
  <si>
    <t>93810 Arsimi Fillor</t>
  </si>
  <si>
    <t>95010 Arsimi i Mesem</t>
  </si>
  <si>
    <t>Kodi ekonomik / përshkrimi</t>
  </si>
  <si>
    <t>Struktura në (%) sipas kategorive të shpenzimeve</t>
  </si>
  <si>
    <t>13310 - interneti</t>
  </si>
  <si>
    <t>13320 - telefonia mobile</t>
  </si>
  <si>
    <t>13330 - shërbimet postare</t>
  </si>
  <si>
    <t>13440 - shërbimet këshilldhënëse dhe profesionale</t>
  </si>
  <si>
    <t>13445 - shërbimet e veçanta - konsulentë dhe kontraktorë individual</t>
  </si>
  <si>
    <t>13460 - shërbimet kontraktuese të tjera</t>
  </si>
  <si>
    <t>13475 - sigurimi fizik i objekteve publike</t>
  </si>
  <si>
    <t>13480 - shpenzimet e anëtarësimit</t>
  </si>
  <si>
    <t>13610 - furnizimet për zyrë</t>
  </si>
  <si>
    <t>13620 - furnizimi me ushqim dhe pije (jo dreka zyrtare)</t>
  </si>
  <si>
    <t>13630 - furnizimet mjekësore</t>
  </si>
  <si>
    <t>13640 - furnizimet e pastrimit</t>
  </si>
  <si>
    <t>13760 - drutë dhe prodhimet e drurit për ngrohje</t>
  </si>
  <si>
    <t>13780 - derivatet për automjete, gjeneratorë dhe makineri</t>
  </si>
  <si>
    <t>13950 - regjistrimi i automjeteve</t>
  </si>
  <si>
    <t>13951 - sigurimi i automjeteve</t>
  </si>
  <si>
    <t>14010 - mirëmbajtja dhe riparimi i automjeteve</t>
  </si>
  <si>
    <t>14023 - mirëmbajtja e ndërtesave arsimore</t>
  </si>
  <si>
    <t>14027 - mirëmbajtja e objekteve kulturore</t>
  </si>
  <si>
    <t>14032 - mirëmbajtja e rrugëve lokale</t>
  </si>
  <si>
    <t>14050 - mirëmbajtja e mobiljeve dhe pajisjeve</t>
  </si>
  <si>
    <t>14060 - mirëmbajtja rutinore</t>
  </si>
  <si>
    <t>14130 - qiraja për pajisje</t>
  </si>
  <si>
    <t>14310 - kompensimi i përfaqësimit brenda vendit</t>
  </si>
  <si>
    <t>14410 - vendimet gjyqësore</t>
  </si>
  <si>
    <t>13450 - shërbimet e shtypjes/ printimit</t>
  </si>
  <si>
    <t>13430 - shërbimet e ndryshme shëndetësore</t>
  </si>
  <si>
    <t>Struktura në (%) sipas programeve buxhetore</t>
  </si>
  <si>
    <t>13210 - energjia elektrike</t>
  </si>
  <si>
    <t>13220 - shërbimet e ujësjellësit dhe kanalizimit</t>
  </si>
  <si>
    <t>13230 - mbeturinat</t>
  </si>
  <si>
    <t>13250 - telefonia fikse</t>
  </si>
  <si>
    <t>21200 - subvencionet për entitetet jopublike</t>
  </si>
  <si>
    <t>22202 - transferet për përfitues individual tjerë</t>
  </si>
  <si>
    <t>22298 - pagesat për shërbimet e varrimit</t>
  </si>
  <si>
    <t>30 Rezerva</t>
  </si>
  <si>
    <t>13470 - shërbimet teknike</t>
  </si>
  <si>
    <t>13501 - mobiljet</t>
  </si>
  <si>
    <t>Realizimi përballë Buxhetit aktual  2026 (€)</t>
  </si>
  <si>
    <t>Buxheti 2026 (€)</t>
  </si>
  <si>
    <t>Emërtimi i të hyrave vetanake</t>
  </si>
  <si>
    <t>Planifikimi 2026 (€)</t>
  </si>
  <si>
    <t>Realizimi (%)</t>
  </si>
  <si>
    <t>Të Hyrat Vetanake (I+II)</t>
  </si>
  <si>
    <t xml:space="preserve">1. Tatimi në pronë - Gjithsej </t>
  </si>
  <si>
    <t>Tatimi në tokë (parcelat)</t>
  </si>
  <si>
    <t>Tatimi në pronë (objektet)</t>
  </si>
  <si>
    <t xml:space="preserve">2. Taksat komunale - Gjithsej </t>
  </si>
  <si>
    <t>Licencat dhe lejet</t>
  </si>
  <si>
    <t>Certifikatat dhe dokumentet zyrtare</t>
  </si>
  <si>
    <t>Taksat e pajisjeve motorike</t>
  </si>
  <si>
    <t>Lejet për ndërtesa</t>
  </si>
  <si>
    <t>Taksat tjera komunale</t>
  </si>
  <si>
    <t xml:space="preserve">3. Ngarkesat komunale  - Gjithsej </t>
  </si>
  <si>
    <t>Ngarkesat rregullatore</t>
  </si>
  <si>
    <t>Të hyrat nga qiraja</t>
  </si>
  <si>
    <t>Bashkë-pagesat për arsim</t>
  </si>
  <si>
    <t>Bashkë-pagesat për shëndetësi</t>
  </si>
  <si>
    <t>Ngarkesat tjera komunale</t>
  </si>
  <si>
    <t xml:space="preserve">4. Të hyrat tjera  - Gjithsej </t>
  </si>
  <si>
    <t>Të hyrat tjera</t>
  </si>
  <si>
    <t>I. Të Hyrat Direkte (1+2+3+4)</t>
  </si>
  <si>
    <t>5. Policia e Kosovës (gjobat në trafik)</t>
  </si>
  <si>
    <t>6. Gjykatat (gjobat)</t>
  </si>
  <si>
    <t>7. Agjencioni i Pyjeve (taksat)</t>
  </si>
  <si>
    <t>II. Të Hyrat Indirekte (5+6+7)</t>
  </si>
  <si>
    <t>Programi buxhetor</t>
  </si>
  <si>
    <t>Kodi</t>
  </si>
  <si>
    <t>Taksa për certifikatë të lindjes</t>
  </si>
  <si>
    <t>Taksa për certifikatë të kurorëzimit</t>
  </si>
  <si>
    <t>Taksa për certifikatë të vdekjes</t>
  </si>
  <si>
    <t>Taksa për certifikata të tjera</t>
  </si>
  <si>
    <t>Taksa për verifikimin e dokumenteve të ndryshme</t>
  </si>
  <si>
    <t>Taksa për shtetësi</t>
  </si>
  <si>
    <t>Tatimi në pronë</t>
  </si>
  <si>
    <t>Taksa për regjistrim të automjeteve</t>
  </si>
  <si>
    <t>Taksa të tjera administrative</t>
  </si>
  <si>
    <t>Taksa për parkim publik, kamping dhe rekreacion</t>
  </si>
  <si>
    <t>Gjobat nga inspektorati</t>
  </si>
  <si>
    <t>Shfrytëzimi i pronës publike</t>
  </si>
  <si>
    <t>50407</t>
  </si>
  <si>
    <t>Qiraja nga vendosja e objekteve tregtare</t>
  </si>
  <si>
    <t>Taksa për ndërrim të destinimit të pronës</t>
  </si>
  <si>
    <t>50424</t>
  </si>
  <si>
    <t>Taksa për leje ndërtimi</t>
  </si>
  <si>
    <t>Taksa për legalizimin e objekteve</t>
  </si>
  <si>
    <t>Taksa për certifikatë të pronësisë dhe kopje plani</t>
  </si>
  <si>
    <t>Taksa për leje mjedisore</t>
  </si>
  <si>
    <t>Qiraja nga prona publike</t>
  </si>
  <si>
    <t>Taksa për regjistrim të pengut</t>
  </si>
  <si>
    <t>Matja e tokës në terren</t>
  </si>
  <si>
    <t>Taksa për certifikatë mjekësore</t>
  </si>
  <si>
    <t>Participimet</t>
  </si>
  <si>
    <t xml:space="preserve">16328 - Administrata </t>
  </si>
  <si>
    <t xml:space="preserve">17528 - Buxheti </t>
  </si>
  <si>
    <t xml:space="preserve">18028 - Shërbime Publike - Infrastruktura Rrugore </t>
  </si>
  <si>
    <t xml:space="preserve">47028 - Bujqësia </t>
  </si>
  <si>
    <t xml:space="preserve">66445 - Planifikimi Urbanizmi Inspekcioni </t>
  </si>
  <si>
    <t xml:space="preserve">74700 - Shërbimet e Kujdesit Primar Shëndetësor </t>
  </si>
  <si>
    <t xml:space="preserve">92140 - Administrata </t>
  </si>
  <si>
    <t xml:space="preserve">92750 - Arsimi Parafillor / Çerdhet </t>
  </si>
  <si>
    <t>Pranimet nga tarifat për vendimet gjyqësore/përmbarimore</t>
  </si>
  <si>
    <t>Të Hyrat Vetanake</t>
  </si>
  <si>
    <t>Shpenzimet për vendime gjyqësore (€)</t>
  </si>
  <si>
    <t>16328 ADMINISTRATA</t>
  </si>
  <si>
    <t xml:space="preserve">17528 BUXHETI </t>
  </si>
  <si>
    <t xml:space="preserve">18028 SHËRBIME PUBLIKE - INFRASTRUKTURA RRUGORE </t>
  </si>
  <si>
    <t xml:space="preserve">47028 BUJQËSIA </t>
  </si>
  <si>
    <t xml:space="preserve">48028 PLANIFIKIMI DHE ZHVILLIMI EKONOMIK </t>
  </si>
  <si>
    <t xml:space="preserve">66445 PLANIFIKIMI URBANIZMI INSPEKCIONI </t>
  </si>
  <si>
    <t xml:space="preserve">74700 SHËRBIMET E KUJDESIT PRIMAR SHËNDETËSOR </t>
  </si>
  <si>
    <t xml:space="preserve">75636 SHËRBIMET SOCIALE </t>
  </si>
  <si>
    <t xml:space="preserve">85028 SHËRBIMET KULTURORE </t>
  </si>
  <si>
    <t xml:space="preserve">93810 ARSIMI FILLOR </t>
  </si>
  <si>
    <t xml:space="preserve">95010 ARSIMI I MESËM </t>
  </si>
  <si>
    <t>1. Granti i Përgjithshëm</t>
  </si>
  <si>
    <t>2. Granti specifik për Arsim parauniversitar</t>
  </si>
  <si>
    <t>3. Granti specifik për Shëndetësi primare</t>
  </si>
  <si>
    <t>4. Të Hyrat Vetanake</t>
  </si>
  <si>
    <t>5. Të Hyrat Vetanake nga viti i kaluar</t>
  </si>
  <si>
    <t>I. Gjithsej GRANTI QEVERITAR (GQ= 1+2+3)</t>
  </si>
  <si>
    <t>II. Gjithsej TË HYRA VETANAKE (THV= 4+5)</t>
  </si>
  <si>
    <t>6. Participimet</t>
  </si>
  <si>
    <t>7. Donacionet</t>
  </si>
  <si>
    <t>III. Gjithsej PARTICIPIME dhe DONACIONE (GPD= 6+7)</t>
  </si>
  <si>
    <t>Gjithsej (I+II+III)</t>
  </si>
  <si>
    <t>Shitja e pasurisë publike</t>
  </si>
  <si>
    <t>Buxheti aktual 2026 (€)</t>
  </si>
  <si>
    <t>13504 - pajisjet e tjera të teknol.informative dhe të komunikimit</t>
  </si>
  <si>
    <t>13509 - pajisjet e tjera</t>
  </si>
  <si>
    <t>14450 - pagesat - gjobat ndërinstitucionale</t>
  </si>
  <si>
    <t>14040 - mirëmbajtja e teknologjisë informative dhe të komunikimit</t>
  </si>
  <si>
    <t>14022 - mirëmbajtja e ndërtesave administrative dhe afariste</t>
  </si>
  <si>
    <t>14024 - mirëmbajtja e ndërtesave shëndetësore</t>
  </si>
  <si>
    <t>14026 - mirëmbajtja e objekteve sportive</t>
  </si>
  <si>
    <t>13143 - shpenzimet e tjera për udhëtimet zyrtare jashtë vendit</t>
  </si>
  <si>
    <t>13660 - akomodimi për mikpritje të delegacioneve të jashtme</t>
  </si>
  <si>
    <t>13810 - avancë (paradhënia) për para të imëta</t>
  </si>
  <si>
    <t>50015</t>
  </si>
  <si>
    <t>14415 - pagesat për tarifa - vendimet gjyqësore/përmbarimore</t>
  </si>
  <si>
    <t>13140 - transporti për udhëtime zyrtare jashtë vendit</t>
  </si>
  <si>
    <t>13410 - shërbimet e arsimit dhe trajnimit</t>
  </si>
  <si>
    <t>Tabela 5. Plani i ndarjeve buxhetore të shpenzimeve totale të komunës për vitin 2026</t>
  </si>
  <si>
    <t xml:space="preserve">Kodi/ Programi Buxhetor dhe Kodi/ Emri i Projektit Kapital
</t>
  </si>
  <si>
    <r>
      <t>Gjithsej (</t>
    </r>
    <r>
      <rPr>
        <b/>
        <sz val="12"/>
        <color rgb="FF000000"/>
        <rFont val="Calibri"/>
        <family val="2"/>
      </rPr>
      <t>€)</t>
    </r>
  </si>
  <si>
    <t>20869 RREGULLIMI I HAPËSIRËS SË JASHTME TË OBJEKTIT KOMUNAL</t>
  </si>
  <si>
    <t>50993 NDËRTIMI I ANEKSIT TË OBJEKTIT TË ADMINISTRATËS KOMUNALE</t>
  </si>
  <si>
    <t>52636 RREGULLIMI I SISTEMIT TË NGROHJES QENDRORE TË OBJEKTIT TË ADMINISTRATËS KOMUNALE</t>
  </si>
  <si>
    <t>86245 MJETET PËR BASHKËFINANCIM PROJEKTEVE</t>
  </si>
  <si>
    <t>20868 NDËRTIMI DHE ASFALTIMI I RRUGËS "QEMAJL GURI"</t>
  </si>
  <si>
    <t>51628 NDËRTIMI DHE ASFALTIMI I PJESËS SË MBETUR TË RRUGËS ISMAIL RAKA, SEGMENTI PREJ SHTËPISË SË KULTURËS DERI TE XHAMIA E DËSHMORËVE</t>
  </si>
  <si>
    <t>52699 NDËRTIMI I FABRIKËS PËR TRAJTIMIN E UJIT TË PIJES NË SEPETIN</t>
  </si>
  <si>
    <t>52705 NDËRTIMI I TROTUARIT NË RRUGËN REGJIONALE AHMET KAÇIKU, SEGMENTI RESTAURANT NATYRA - FUSHË E PAJTIMIT</t>
  </si>
  <si>
    <t>52820 NDËRTIMI DHE RREGULLIMI I HAPËSIRAVE PUBLIKE</t>
  </si>
  <si>
    <t>52879 NDËRTIMI I KANALIZIMEVE FEKALE DHE ATMOSFERIKE NË LOKALITETET KAÇANIK, DUBRAVË, KAÇANIK I VJETËR, IVAJË, SHTRAZË DHE DOGANAJ</t>
  </si>
  <si>
    <t>54389 ASFALTIMI I RRUGËS "HAMËZ JASHARI" SEGMENTI SILKAPOR - RAKAJ</t>
  </si>
  <si>
    <t>56182 RREGULLIMI DHE ASFALTIMI I RRUGËS RUNJEVË - STAGOVËI VJETËR</t>
  </si>
  <si>
    <t>56184 REHABILITIMI DHE ASFALTIMI I RRUGËS BOB - DOGANAJ</t>
  </si>
  <si>
    <t>56185 NDËRTIMI I TROTUARIT, SHTEGUT PËR ÇIKLIZËM DHE REHABILITIMI I RRUGËS "ADEM JASHARI" STAGOVË</t>
  </si>
  <si>
    <t>56339 NDËRTIMI DHE RREGULLIMI I RRJETEVE TË UJËSJELLËSVE NË KAÇANIK DHE VATAJ TË EPËRME - DUBRAVË</t>
  </si>
  <si>
    <t>20872 NDËRTIMI I KANALEVE TË UJITJES NË FSHATRAT VATAJ - REKË - NIKAJ</t>
  </si>
  <si>
    <t>20874 NDËRTIMI I RRUGËVE FUSHORE NË BEGRACË</t>
  </si>
  <si>
    <t>20875 NGRITJA E INFRASTRUKTURËS SË TURIZMIT PËRGJATË LUMIT LEPENCI DHE NË GRYKËN E KAÇANIKUT</t>
  </si>
  <si>
    <t>56172 NDËRTIMI I KIOSKAVE PËR BIZNESE NË BULEVARD, NË SHESHIN E QYTETIT DHE NË PIKA TJERA TURISTIKE</t>
  </si>
  <si>
    <t>53279 NDËRTIMI I URAVE MBI LUMIN NERODIME DHE LEPENC</t>
  </si>
  <si>
    <t xml:space="preserve">55167 RREGULLIMI DHE ASFALTIMI I RRUGËVE NË PJESËN URBANE </t>
  </si>
  <si>
    <t xml:space="preserve">55169 RREGULLIMI DHE ASFALTIMI I RRUGËVE NË PJESËN RURALE </t>
  </si>
  <si>
    <t>56201 NDËRTIMI I KOLEKTORIT PËRGJATË LUMIT LEPENC DHE NERODIME</t>
  </si>
  <si>
    <t>56235 NDËRTIMI I MUREVE MBROJTËSE NË RRUGËN HAMËZ JASHARI - MEJDI DALLOSHI - SHABAN DHE ISEN ELEZI</t>
  </si>
  <si>
    <t>56237 ZGJERIMI I RRUGËS GRYKA E KAÇANIKUTI VJETËR</t>
  </si>
  <si>
    <t>56350 NDËRTIMI I SHTRETËRVE TË LUMENJVE DHE PËRROJAVE</t>
  </si>
  <si>
    <t>20878 FURNIZIMI ME APARATURA LABORATORIKE BIOKIMIKE PËR QMF DOGANAJ</t>
  </si>
  <si>
    <t>20880 RIKONSTRUIMI I OBORRIT NË QKMF KAÇANIK</t>
  </si>
  <si>
    <t>54429 NDËRTIMI I DEPOS DHE GARAZHËS NË QKMF</t>
  </si>
  <si>
    <t>56258 RENOVIMI I OBJEKTIT TË QKMF-ES</t>
  </si>
  <si>
    <t>52979 NDËRTIMI I OBJEKTIT TË QPS-ËS NË KAÇANIK</t>
  </si>
  <si>
    <t>20882 NDËRTIMI DHE RREGULLIMI I TERENEVE SPORTIVE NË KOVAQEC DHE STAGOVË</t>
  </si>
  <si>
    <t>45087 RREGULLIMI I VARREZAVE TË DËSHMORËVE DHE VETERANËVE TË UÇK-SË</t>
  </si>
  <si>
    <t>00040 EKZEKUTIMI I VENDIMEVE GJYQËSORE (NENI 40 LMFPP)</t>
  </si>
  <si>
    <t>53269 NDËRTIMI I SALLËS SË EDUKATËS FIZIKE NË SHFMU "KADRI ZEKA"</t>
  </si>
  <si>
    <t>56205 VENDOSJA E PANELEVE DIELLORE NË OBJEKTET SHKOLLORE</t>
  </si>
  <si>
    <t>56220 DIGJITALIZIMI I SHFMU "EMIN DURAKU" KAÇANIK</t>
  </si>
  <si>
    <t>56223 DIGJITALIZIMI I SHFMU-VE</t>
  </si>
  <si>
    <t>56225 DIGJITALIZIMI I SHML-VE</t>
  </si>
  <si>
    <t>56227 VENDOSJA E PANELEVE DIELLORE NË IAAP - FERIZ GURI DHE VËLLEZËRIT ÇAKA</t>
  </si>
  <si>
    <t xml:space="preserve">Kodi/ Programi Buxhetor dhe Emri i Përfituesit
</t>
  </si>
  <si>
    <t>16028 ZYRA E KRYETARIT</t>
  </si>
  <si>
    <t>18028 SHËRBIME PUBLIKE - INFRASTRUKTURA RRUGORE</t>
  </si>
  <si>
    <t>Bashkësia Islame e Kosovës - Dega në Kaçanik / shërbimet e varrimit</t>
  </si>
  <si>
    <t xml:space="preserve">75636 SHERBIMET SOCIALE </t>
  </si>
  <si>
    <t>SHPAK HK - HANDIKOS KAÇANIK</t>
  </si>
  <si>
    <t>85028 SHËRBIMET KULTURORE</t>
  </si>
  <si>
    <t>KVK FEMRAT</t>
  </si>
  <si>
    <t>KLUBI BASKETBOLLISTIK LEPENCI</t>
  </si>
  <si>
    <t>KFFBBK (Bazeli 2015 Femrat)</t>
  </si>
  <si>
    <t>SHKA TINGUJT E VENDLINDJES</t>
  </si>
  <si>
    <t>SHOQ.E PESHK.SPOR.REKREA.TROFTA LEPENCIT</t>
  </si>
  <si>
    <t>NGO CAMP OF MURAL ARTISTS</t>
  </si>
  <si>
    <t>SHBA KAÇANIKU 2015</t>
  </si>
  <si>
    <t>QK KAÇANIKU</t>
  </si>
  <si>
    <t>92140 ADMINISTRATA</t>
  </si>
  <si>
    <t>Transporti i nxënësve (përfshirë edhe fëmijët me nevoja të veçanta)</t>
  </si>
  <si>
    <t>93810 ARSIMI FILLOR</t>
  </si>
  <si>
    <t>95010 ARSIMI I MESEM</t>
  </si>
  <si>
    <t xml:space="preserve">Org. e Veteran. të Luftës së Ushtrisë Çlirimtare të Kosovës - Dega në Kaçanik </t>
  </si>
  <si>
    <t>KLUBI I TAEKWONDO KAÇANIKU 2000</t>
  </si>
  <si>
    <t>Shoq. e Pedagogëve të Kulturës Fizike dhe Sportit Shkollor KAÇANIK</t>
  </si>
  <si>
    <t>KLUBI I MUNDJES KAÇANIKU</t>
  </si>
  <si>
    <t>MOTOKROSS KAÇANIKU</t>
  </si>
  <si>
    <t>KB KAÇANIKU M</t>
  </si>
  <si>
    <t>KLUBI I MOTOÇIKLIZMIT ENDURO KAÇANIKU</t>
  </si>
  <si>
    <t>KLUBI I VOLEJBOLLIT KAÇANIKU</t>
  </si>
  <si>
    <t>SHKA GRYKA E KAÇANIKUT</t>
  </si>
  <si>
    <t>FONDACIONI BONEVET KAÇANIK</t>
  </si>
  <si>
    <t>KF LEPENCI KAÇANIK</t>
  </si>
  <si>
    <t>QENDRA PER MBROJ. E GRAVE FEMIJVE SHTËPIA IME FERIZAJ</t>
  </si>
  <si>
    <t>Tabela 7. Përmbledhja e shpenzimeve për Mallra dhe Shërbime - Janar - Qershor 2026</t>
  </si>
  <si>
    <t>Tabela 8. Përmbledhja e shpenzimeve për Shpenzime komunale - Janar - Qershor 2026</t>
  </si>
  <si>
    <t>Organizata për Mbrojtjen e Mjedisit GJETHI</t>
  </si>
  <si>
    <t>Janar - Qershor 2026 (€)</t>
  </si>
  <si>
    <t>Janar - Qershor 2025 (€)</t>
  </si>
  <si>
    <t>Dallimi  2026/2025 (€)</t>
  </si>
  <si>
    <t>Realizimi                    Janar - Qershor 2026 (€)</t>
  </si>
  <si>
    <t>Realizimi                    Janar - Qershor 2025 (€)</t>
  </si>
  <si>
    <t>Shpenzimet Janar - Qershor 2026 (€)</t>
  </si>
  <si>
    <t>Shpenzimet Janar - Qershor 2025 (€)</t>
  </si>
  <si>
    <t>Varianca ndaj buxhetit (€)= Buxheti aktual 2026- Shpenzimet Janar - Qershor 2026</t>
  </si>
  <si>
    <t>Buxheti aktual 2026 - Shpenzimet Janar - Qershor 2026 (€)</t>
  </si>
  <si>
    <t>Dallimi Shpenzimet Janar - Qershor 2026/2025 (€)</t>
  </si>
  <si>
    <t>Dallimi Shpenzimet Janar - Qershor 2026/2025 (%)</t>
  </si>
  <si>
    <t>Ekzekutimi (%)= Shpenzimet       Janar - Qershor 2026/ Buxheti final 2026</t>
  </si>
  <si>
    <t>Dallimi 2026/2025 (€)</t>
  </si>
  <si>
    <t>Gjithsej            Janar - Qershor 2025 (€)</t>
  </si>
  <si>
    <t>Dallimi              Janar - Qershor 2026/2025 (€)</t>
  </si>
  <si>
    <t>Gjithsej                Janar - Qershor 2026 (€)</t>
  </si>
  <si>
    <t>Gjithsej        2026 (€)</t>
  </si>
  <si>
    <t>Gjithsej 2025 (€)</t>
  </si>
  <si>
    <t>Varianca ndaj buxhetit (€)= Buxheti aktual 2026 - Shpenzimet 2026</t>
  </si>
  <si>
    <t>Shpenzimet 2026 (€)</t>
  </si>
  <si>
    <t>Ekzekutimi (%)= Shpenzimet 2026/ Buxheti aktual 2026</t>
  </si>
  <si>
    <t>Ndihma momentale për persona me gjendje të rëndë ekonomike dhe gjendje të rëndë shëndetësore</t>
  </si>
  <si>
    <t>Mbështetja e nënave lehona (109 ), ndihma momentale për persona me gjendje të rëndë ekonomike dhe gjendje të rëndë shëndetësore</t>
  </si>
  <si>
    <t>Tabela 11. Investime kapitale / Pasuritë jofinanciare - Periudha 01.01.2026 - 30.06.2026</t>
  </si>
  <si>
    <t>Tabela 1. Përmbledhje e raportimit - Periudha 01.01.2026 - 30.06.2026</t>
  </si>
  <si>
    <t>Tabela 6. Shpenzimet sipas programeve buxhetore - Periudha 01.01.2026 - 30.06.2026</t>
  </si>
  <si>
    <t>Tabela 9. Përmbledhja e shpenzimeve për Subvencione dhe Transfere - Periudha 01.01.2026 - 30.06.2026</t>
  </si>
  <si>
    <t>Tabela 10. Detaje - Subvencione dhe Transfere - Periudha 01.01.2026 - 30.06.2026</t>
  </si>
  <si>
    <t>Tabela 2. Raporti i të hyrave vetanake - Periudha 01.01.2026 - 30.06.2026</t>
  </si>
  <si>
    <t>Tabela 3. Inkasimet sipas programeve buxhetore (SIMFK) - Periudha 01.01.2026 - 30.06.2026</t>
  </si>
  <si>
    <t>Tabela 4. Shpenzimet sipas kategorive ekonomike - Periudha 01.01.2026 - 30.06.2026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</si>
</sst>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#,##0.00;[Red]\(#,##0.00\);\-"/>
    <numFmt numFmtId="165" formatCode="0.0%"/>
    <numFmt numFmtId="166" formatCode="#,##0.00;[Red]#,##0.00"/>
  </numFmts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aj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1F2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7E6E6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F1E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medium">
        <color rgb="FF7F7F7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BFBFBF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8">
    <xf numFmtId="0" fontId="0" fillId="0" borderId="0" xfId="0"/>
    <xf numFmtId="43" fontId="0" fillId="0" borderId="14" xfId="1" applyFont="1" applyFill="1" applyBorder="1" applyProtection="1">
      <protection locked="0"/>
    </xf>
    <xf numFmtId="43" fontId="10" fillId="13" borderId="14" xfId="1" applyFont="1" applyFill="1" applyBorder="1" applyProtection="1">
      <protection locked="0"/>
    </xf>
    <xf numFmtId="0" fontId="0" fillId="15" borderId="0" xfId="0" applyFill="1" applyProtection="1">
      <protection locked="0"/>
    </xf>
    <xf numFmtId="0" fontId="0" fillId="0" borderId="0" xfId="0" applyProtection="1"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164" fontId="7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right" vertical="center" wrapText="1"/>
      <protection locked="0"/>
    </xf>
    <xf numFmtId="43" fontId="8" fillId="5" borderId="9" xfId="1" applyFont="1" applyFill="1" applyBorder="1" applyAlignment="1" applyProtection="1">
      <alignment vertical="center" wrapText="1"/>
      <protection locked="0"/>
    </xf>
    <xf numFmtId="10" fontId="8" fillId="5" borderId="9" xfId="0" applyNumberFormat="1" applyFont="1" applyFill="1" applyBorder="1" applyAlignment="1" applyProtection="1">
      <alignment vertical="center" wrapText="1"/>
      <protection locked="0"/>
    </xf>
    <xf numFmtId="164" fontId="8" fillId="5" borderId="9" xfId="1" applyNumberFormat="1" applyFont="1" applyFill="1" applyBorder="1" applyAlignment="1" applyProtection="1">
      <alignment vertical="center" wrapText="1"/>
      <protection locked="0"/>
    </xf>
    <xf numFmtId="0" fontId="8" fillId="6" borderId="9" xfId="0" applyFont="1" applyFill="1" applyBorder="1" applyAlignment="1" applyProtection="1">
      <alignment vertical="center" wrapText="1"/>
      <protection locked="0"/>
    </xf>
    <xf numFmtId="43" fontId="8" fillId="6" borderId="9" xfId="1" applyFont="1" applyFill="1" applyBorder="1" applyAlignment="1" applyProtection="1">
      <alignment vertical="center" wrapText="1"/>
      <protection locked="0"/>
    </xf>
    <xf numFmtId="10" fontId="8" fillId="6" borderId="9" xfId="0" applyNumberFormat="1" applyFont="1" applyFill="1" applyBorder="1" applyAlignment="1" applyProtection="1">
      <alignment vertical="center" wrapText="1"/>
      <protection locked="0"/>
    </xf>
    <xf numFmtId="164" fontId="8" fillId="6" borderId="9" xfId="1" applyNumberFormat="1" applyFon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43" fontId="0" fillId="0" borderId="9" xfId="1" applyFont="1" applyBorder="1" applyAlignment="1" applyProtection="1">
      <alignment vertical="center" wrapText="1"/>
      <protection locked="0"/>
    </xf>
    <xf numFmtId="164" fontId="0" fillId="0" borderId="9" xfId="1" applyNumberFormat="1" applyFont="1" applyBorder="1" applyAlignment="1" applyProtection="1">
      <alignment vertical="center" wrapText="1"/>
      <protection locked="0"/>
    </xf>
    <xf numFmtId="10" fontId="0" fillId="0" borderId="9" xfId="0" applyNumberFormat="1" applyBorder="1" applyAlignment="1" applyProtection="1">
      <alignment vertical="center" wrapText="1"/>
      <protection locked="0"/>
    </xf>
    <xf numFmtId="0" fontId="0" fillId="0" borderId="12" xfId="0" applyBorder="1" applyProtection="1">
      <protection locked="0"/>
    </xf>
    <xf numFmtId="43" fontId="0" fillId="0" borderId="12" xfId="1" applyFont="1" applyBorder="1" applyProtection="1">
      <protection locked="0"/>
    </xf>
    <xf numFmtId="164" fontId="0" fillId="0" borderId="12" xfId="1" applyNumberFormat="1" applyFont="1" applyBorder="1" applyProtection="1">
      <protection locked="0"/>
    </xf>
    <xf numFmtId="0" fontId="8" fillId="7" borderId="11" xfId="0" applyFont="1" applyFill="1" applyBorder="1" applyAlignment="1" applyProtection="1">
      <alignment horizontal="right" vertical="center" wrapText="1"/>
      <protection locked="0"/>
    </xf>
    <xf numFmtId="43" fontId="8" fillId="7" borderId="11" xfId="1" applyFont="1" applyFill="1" applyBorder="1" applyAlignment="1" applyProtection="1">
      <alignment vertical="center" wrapText="1"/>
      <protection locked="0"/>
    </xf>
    <xf numFmtId="164" fontId="8" fillId="7" borderId="11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Protection="1">
      <protection locked="0"/>
    </xf>
    <xf numFmtId="43" fontId="4" fillId="0" borderId="13" xfId="1" applyFont="1" applyBorder="1" applyProtection="1">
      <protection locked="0"/>
    </xf>
    <xf numFmtId="43" fontId="0" fillId="0" borderId="13" xfId="1" applyFont="1" applyBorder="1" applyProtection="1">
      <protection locked="0"/>
    </xf>
    <xf numFmtId="164" fontId="0" fillId="0" borderId="13" xfId="0" applyNumberFormat="1" applyBorder="1" applyProtection="1">
      <protection locked="0"/>
    </xf>
    <xf numFmtId="0" fontId="0" fillId="0" borderId="9" xfId="0" applyBorder="1" applyProtection="1">
      <protection locked="0"/>
    </xf>
    <xf numFmtId="43" fontId="4" fillId="0" borderId="9" xfId="1" applyFont="1" applyBorder="1" applyProtection="1">
      <protection locked="0"/>
    </xf>
    <xf numFmtId="43" fontId="0" fillId="0" borderId="9" xfId="1" applyFont="1" applyBorder="1" applyProtection="1">
      <protection locked="0"/>
    </xf>
    <xf numFmtId="164" fontId="0" fillId="0" borderId="9" xfId="0" applyNumberFormat="1" applyBorder="1" applyProtection="1">
      <protection locked="0"/>
    </xf>
    <xf numFmtId="43" fontId="4" fillId="0" borderId="12" xfId="1" applyFont="1" applyBorder="1" applyProtection="1">
      <protection locked="0"/>
    </xf>
    <xf numFmtId="164" fontId="0" fillId="0" borderId="12" xfId="0" applyNumberFormat="1" applyBorder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1" fillId="9" borderId="14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10" borderId="14" xfId="0" applyFont="1" applyFill="1" applyBorder="1" applyAlignment="1" applyProtection="1">
      <alignment horizontal="center" vertical="center" wrapText="1"/>
      <protection locked="0"/>
    </xf>
    <xf numFmtId="4" fontId="11" fillId="10" borderId="14" xfId="0" applyNumberFormat="1" applyFont="1" applyFill="1" applyBorder="1" applyAlignment="1" applyProtection="1">
      <alignment horizontal="right" vertical="center"/>
      <protection locked="0"/>
    </xf>
    <xf numFmtId="10" fontId="11" fillId="10" borderId="14" xfId="0" applyNumberFormat="1" applyFont="1" applyFill="1" applyBorder="1" applyAlignment="1" applyProtection="1">
      <alignment horizontal="right" vertical="center"/>
      <protection locked="0"/>
    </xf>
    <xf numFmtId="4" fontId="11" fillId="11" borderId="14" xfId="0" applyNumberFormat="1" applyFont="1" applyFill="1" applyBorder="1" applyAlignment="1" applyProtection="1">
      <alignment horizontal="right" vertical="center"/>
      <protection locked="0"/>
    </xf>
    <xf numFmtId="0" fontId="12" fillId="9" borderId="14" xfId="0" applyFont="1" applyFill="1" applyBorder="1" applyAlignment="1" applyProtection="1">
      <alignment horizontal="left" vertical="center" wrapText="1"/>
      <protection locked="0"/>
    </xf>
    <xf numFmtId="4" fontId="12" fillId="9" borderId="14" xfId="0" applyNumberFormat="1" applyFont="1" applyFill="1" applyBorder="1" applyAlignment="1" applyProtection="1">
      <alignment horizontal="right" vertical="center"/>
      <protection locked="0"/>
    </xf>
    <xf numFmtId="4" fontId="11" fillId="9" borderId="14" xfId="0" applyNumberFormat="1" applyFont="1" applyFill="1" applyBorder="1" applyAlignment="1" applyProtection="1">
      <alignment horizontal="right" vertical="center"/>
      <protection locked="0"/>
    </xf>
    <xf numFmtId="10" fontId="11" fillId="9" borderId="14" xfId="0" applyNumberFormat="1" applyFont="1" applyFill="1" applyBorder="1" applyAlignment="1" applyProtection="1">
      <alignment horizontal="right" vertical="center"/>
      <protection locked="0"/>
    </xf>
    <xf numFmtId="4" fontId="12" fillId="11" borderId="14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textRotation="90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0" fontId="0" fillId="0" borderId="1" xfId="0" applyNumberFormat="1" applyBorder="1" applyAlignment="1" applyProtection="1">
      <alignment horizontal="right" vertical="center"/>
      <protection locked="0"/>
    </xf>
    <xf numFmtId="164" fontId="0" fillId="0" borderId="1" xfId="2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right" vertical="center" wrapText="1"/>
      <protection locked="0"/>
    </xf>
    <xf numFmtId="164" fontId="2" fillId="3" borderId="1" xfId="0" applyNumberFormat="1" applyFont="1" applyFill="1" applyBorder="1" applyAlignment="1" applyProtection="1">
      <alignment horizontal="right" vertical="center"/>
      <protection locked="0"/>
    </xf>
    <xf numFmtId="10" fontId="2" fillId="3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165" fontId="0" fillId="0" borderId="1" xfId="0" applyNumberForma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40" fontId="2" fillId="3" borderId="1" xfId="0" applyNumberFormat="1" applyFont="1" applyFill="1" applyBorder="1" applyAlignment="1" applyProtection="1">
      <alignment horizontal="right" vertical="center"/>
      <protection locked="0"/>
    </xf>
    <xf numFmtId="4" fontId="2" fillId="3" borderId="1" xfId="0" applyNumberFormat="1" applyFont="1" applyFill="1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9" fontId="0" fillId="0" borderId="1" xfId="2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right" vertical="center"/>
      <protection locked="0"/>
    </xf>
    <xf numFmtId="41" fontId="2" fillId="3" borderId="1" xfId="1" applyNumberFormat="1" applyFont="1" applyFill="1" applyBorder="1" applyAlignment="1" applyProtection="1">
      <alignment horizontal="right" vertical="center"/>
      <protection locked="0"/>
    </xf>
    <xf numFmtId="0" fontId="0" fillId="15" borderId="0" xfId="0" applyFill="1" applyAlignment="1" applyProtection="1">
      <alignment horizontal="left" vertical="center" wrapText="1"/>
      <protection locked="0"/>
    </xf>
    <xf numFmtId="10" fontId="2" fillId="3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164" fontId="8" fillId="8" borderId="7" xfId="0" applyNumberFormat="1" applyFon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/>
      <protection locked="0"/>
    </xf>
    <xf numFmtId="164" fontId="0" fillId="0" borderId="8" xfId="0" applyNumberFormat="1" applyBorder="1" applyAlignment="1" applyProtection="1">
      <alignment vertical="center" wrapText="1"/>
      <protection locked="0"/>
    </xf>
    <xf numFmtId="166" fontId="10" fillId="6" borderId="0" xfId="0" applyNumberFormat="1" applyFont="1" applyFill="1" applyAlignment="1" applyProtection="1">
      <alignment vertical="center"/>
      <protection locked="0"/>
    </xf>
    <xf numFmtId="164" fontId="10" fillId="6" borderId="8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10" fontId="0" fillId="0" borderId="14" xfId="1" applyNumberFormat="1" applyFont="1" applyFill="1" applyBorder="1" applyProtection="1">
      <protection locked="0"/>
    </xf>
    <xf numFmtId="0" fontId="10" fillId="13" borderId="14" xfId="0" applyFont="1" applyFill="1" applyBorder="1" applyAlignment="1" applyProtection="1">
      <alignment horizontal="right"/>
      <protection locked="0"/>
    </xf>
    <xf numFmtId="10" fontId="10" fillId="13" borderId="14" xfId="1" applyNumberFormat="1" applyFont="1" applyFill="1" applyBorder="1" applyProtection="1">
      <protection locked="0"/>
    </xf>
    <xf numFmtId="0" fontId="13" fillId="14" borderId="14" xfId="0" applyFont="1" applyFill="1" applyBorder="1" applyAlignment="1" applyProtection="1">
      <alignment horizontal="right"/>
      <protection locked="0"/>
    </xf>
    <xf numFmtId="43" fontId="13" fillId="14" borderId="14" xfId="1" applyFont="1" applyFill="1" applyBorder="1" applyProtection="1">
      <protection locked="0"/>
    </xf>
    <xf numFmtId="10" fontId="13" fillId="14" borderId="14" xfId="1" applyNumberFormat="1" applyFont="1" applyFill="1" applyBorder="1" applyProtection="1"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10" fontId="0" fillId="0" borderId="0" xfId="0" applyNumberForma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64" fontId="2" fillId="0" borderId="0" xfId="0" applyNumberFormat="1" applyFont="1" applyAlignment="1" applyProtection="1">
      <alignment horizontal="right" vertical="center"/>
      <protection locked="0"/>
    </xf>
    <xf numFmtId="10" fontId="2" fillId="0" borderId="0" xfId="0" applyNumberFormat="1" applyFont="1" applyAlignment="1" applyProtection="1">
      <alignment horizontal="right" vertical="center"/>
      <protection locked="0"/>
    </xf>
    <xf numFmtId="10" fontId="2" fillId="0" borderId="0" xfId="0" applyNumberFormat="1" applyFont="1" applyProtection="1">
      <protection locked="0"/>
    </xf>
    <xf numFmtId="0" fontId="0" fillId="0" borderId="8" xfId="0" applyBorder="1" applyAlignment="1" applyProtection="1">
      <alignment vertical="center"/>
    </xf>
    <xf numFmtId="4" fontId="12" fillId="9" borderId="14" xfId="0" applyNumberFormat="1" applyFont="1" applyFill="1" applyBorder="1" applyAlignment="1" applyProtection="1">
      <alignment horizontal="right" vertical="center"/>
    </xf>
    <xf numFmtId="0" fontId="0" fillId="0" borderId="0" xfId="0" applyProtection="1"/>
    <xf numFmtId="0" fontId="0" fillId="0" borderId="1" xfId="0" applyBorder="1" applyAlignment="1" applyProtection="1">
      <alignment horizontal="right" vertical="center"/>
    </xf>
    <xf numFmtId="43" fontId="0" fillId="0" borderId="9" xfId="1" applyFont="1" applyBorder="1" applyAlignment="1" applyProtection="1">
      <alignment vertical="center" wrapText="1"/>
    </xf>
    <xf numFmtId="43" fontId="10" fillId="13" borderId="14" xfId="1" applyFont="1" applyFill="1" applyBorder="1" applyProtection="1"/>
    <xf numFmtId="10" fontId="0" fillId="0" borderId="1" xfId="2" applyNumberFormat="1" applyFont="1" applyBorder="1" applyAlignment="1" applyProtection="1">
      <alignment horizontal="right" vertical="center"/>
    </xf>
    <xf numFmtId="4" fontId="11" fillId="9" borderId="14" xfId="0" applyNumberFormat="1" applyFont="1" applyFill="1" applyBorder="1" applyAlignment="1" applyProtection="1">
      <alignment horizontal="right" vertical="center"/>
    </xf>
    <xf numFmtId="10" fontId="11" fillId="9" borderId="14" xfId="0" applyNumberFormat="1" applyFont="1" applyFill="1" applyBorder="1" applyAlignment="1" applyProtection="1">
      <alignment horizontal="right" vertical="center"/>
    </xf>
    <xf numFmtId="4" fontId="12" fillId="11" borderId="14" xfId="0" applyNumberFormat="1" applyFont="1" applyFill="1" applyBorder="1" applyAlignment="1" applyProtection="1">
      <alignment horizontal="right" vertical="center"/>
    </xf>
    <xf numFmtId="164" fontId="0" fillId="0" borderId="8" xfId="0" applyNumberFormat="1" applyBorder="1" applyAlignment="1" applyProtection="1">
      <alignment vertical="center" wrapText="1"/>
    </xf>
    <xf numFmtId="0" fontId="0" fillId="0" borderId="0" xfId="0" applyProtection="1"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8" xfId="0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>
      <alignment horizontal="right" vertical="center" wrapText="1"/>
    </xf>
    <xf numFmtId="43" fontId="0" fillId="0" borderId="0" xfId="1" applyFont="1" applyAlignment="1">
      <alignment horizontal="right" vertical="center"/>
    </xf>
    <xf numFmtId="0" fontId="3" fillId="2" borderId="16" xfId="0" applyFont="1" applyFill="1" applyBorder="1" applyAlignment="1" applyProtection="1">
      <alignment horizontal="center" vertical="center" textRotation="90" wrapText="1"/>
      <protection locked="0"/>
    </xf>
    <xf numFmtId="0" fontId="7" fillId="2" borderId="16" xfId="0" applyFont="1" applyFill="1" applyBorder="1" applyAlignment="1" applyProtection="1">
      <alignment horizontal="center" vertical="center" textRotation="90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right" vertical="center"/>
    </xf>
    <xf numFmtId="164" fontId="0" fillId="0" borderId="14" xfId="0" applyNumberFormat="1" applyBorder="1" applyAlignment="1" applyProtection="1">
      <alignment horizontal="right" vertical="center"/>
    </xf>
    <xf numFmtId="10" fontId="0" fillId="0" borderId="14" xfId="0" applyNumberFormat="1" applyBorder="1" applyAlignment="1" applyProtection="1">
      <alignment horizontal="right" vertical="center"/>
    </xf>
    <xf numFmtId="43" fontId="0" fillId="0" borderId="4" xfId="0" applyNumberFormat="1" applyBorder="1" applyAlignment="1" applyProtection="1">
      <alignment horizontal="right" vertical="center"/>
      <protection locked="0"/>
    </xf>
    <xf numFmtId="43" fontId="0" fillId="0" borderId="14" xfId="0" applyNumberFormat="1" applyBorder="1" applyAlignment="1" applyProtection="1">
      <alignment horizontal="right" vertical="center"/>
      <protection locked="0"/>
    </xf>
    <xf numFmtId="43" fontId="0" fillId="0" borderId="14" xfId="0" applyNumberFormat="1" applyBorder="1" applyAlignment="1" applyProtection="1">
      <alignment horizontal="right" vertical="center"/>
    </xf>
    <xf numFmtId="43" fontId="0" fillId="0" borderId="15" xfId="0" applyNumberFormat="1" applyBorder="1" applyAlignment="1" applyProtection="1">
      <alignment horizontal="right" vertical="center"/>
      <protection locked="0"/>
    </xf>
    <xf numFmtId="43" fontId="0" fillId="0" borderId="1" xfId="0" applyNumberFormat="1" applyBorder="1" applyAlignment="1" applyProtection="1">
      <alignment horizontal="right" vertical="center"/>
      <protection locked="0"/>
    </xf>
    <xf numFmtId="43" fontId="0" fillId="0" borderId="17" xfId="0" applyNumberFormat="1" applyBorder="1" applyAlignment="1" applyProtection="1">
      <alignment horizontal="right" vertical="center"/>
      <protection locked="0"/>
    </xf>
    <xf numFmtId="43" fontId="2" fillId="3" borderId="1" xfId="0" applyNumberFormat="1" applyFont="1" applyFill="1" applyBorder="1" applyAlignment="1" applyProtection="1">
      <alignment horizontal="right" vertical="center"/>
    </xf>
    <xf numFmtId="43" fontId="0" fillId="0" borderId="14" xfId="1" applyNumberFormat="1" applyFont="1" applyBorder="1" applyAlignment="1" applyProtection="1">
      <alignment horizontal="right" vertical="center"/>
      <protection locked="0"/>
    </xf>
    <xf numFmtId="43" fontId="10" fillId="0" borderId="14" xfId="0" applyNumberFormat="1" applyFont="1" applyBorder="1" applyAlignment="1" applyProtection="1">
      <alignment horizontal="right" vertical="center"/>
    </xf>
    <xf numFmtId="43" fontId="10" fillId="0" borderId="17" xfId="0" applyNumberFormat="1" applyFont="1" applyBorder="1" applyAlignment="1" applyProtection="1">
      <alignment horizontal="right" vertical="center"/>
    </xf>
    <xf numFmtId="164" fontId="10" fillId="0" borderId="1" xfId="0" applyNumberFormat="1" applyFont="1" applyBorder="1" applyAlignment="1" applyProtection="1">
      <alignment horizontal="right" vertical="center"/>
      <protection locked="0"/>
    </xf>
    <xf numFmtId="164" fontId="8" fillId="3" borderId="1" xfId="0" applyNumberFormat="1" applyFont="1" applyFill="1" applyBorder="1" applyAlignment="1" applyProtection="1">
      <alignment horizontal="right" vertical="center"/>
      <protection locked="0"/>
    </xf>
    <xf numFmtId="10" fontId="10" fillId="0" borderId="1" xfId="0" applyNumberFormat="1" applyFont="1" applyBorder="1" applyAlignment="1" applyProtection="1">
      <alignment horizontal="right" vertical="center"/>
      <protection locked="0"/>
    </xf>
    <xf numFmtId="10" fontId="10" fillId="0" borderId="1" xfId="2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164" fontId="0" fillId="0" borderId="14" xfId="1" applyNumberFormat="1" applyFont="1" applyFill="1" applyBorder="1" applyProtection="1">
      <protection locked="0"/>
    </xf>
    <xf numFmtId="164" fontId="10" fillId="13" borderId="14" xfId="1" applyNumberFormat="1" applyFont="1" applyFill="1" applyBorder="1" applyProtection="1">
      <protection locked="0"/>
    </xf>
    <xf numFmtId="164" fontId="13" fillId="14" borderId="14" xfId="1" applyNumberFormat="1" applyFont="1" applyFill="1" applyBorder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1" fillId="9" borderId="14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4" fillId="12" borderId="14" xfId="0" applyFont="1" applyFill="1" applyBorder="1" applyAlignment="1" applyProtection="1">
      <alignment horizontal="right" vertical="center" wrapText="1"/>
      <protection locked="0"/>
    </xf>
    <xf numFmtId="4" fontId="14" fillId="12" borderId="14" xfId="0" applyNumberFormat="1" applyFont="1" applyFill="1" applyBorder="1" applyAlignment="1" applyProtection="1">
      <alignment horizontal="right" vertical="center"/>
      <protection locked="0"/>
    </xf>
    <xf numFmtId="10" fontId="14" fillId="12" borderId="14" xfId="0" applyNumberFormat="1" applyFont="1" applyFill="1" applyBorder="1" applyAlignment="1" applyProtection="1">
      <alignment horizontal="right" vertical="center"/>
      <protection locked="0"/>
    </xf>
    <xf numFmtId="4" fontId="14" fillId="11" borderId="14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10" fontId="0" fillId="0" borderId="0" xfId="0" applyNumberFormat="1" applyProtection="1"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10" fontId="0" fillId="0" borderId="0" xfId="0" applyNumberFormat="1" applyBorder="1" applyAlignment="1" applyProtection="1">
      <alignment horizontal="right" vertical="center"/>
      <protection locked="0"/>
    </xf>
    <xf numFmtId="10" fontId="10" fillId="0" borderId="0" xfId="0" applyNumberFormat="1" applyFont="1" applyBorder="1" applyAlignment="1" applyProtection="1">
      <alignment horizontal="right" vertical="center"/>
      <protection locked="0"/>
    </xf>
    <xf numFmtId="165" fontId="0" fillId="0" borderId="0" xfId="0" applyNumberFormat="1" applyBorder="1" applyAlignment="1" applyProtection="1">
      <alignment horizontal="right" vertical="center"/>
      <protection locked="0"/>
    </xf>
    <xf numFmtId="164" fontId="0" fillId="0" borderId="0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7" fillId="16" borderId="18" xfId="0" applyFont="1" applyFill="1" applyBorder="1" applyAlignment="1">
      <alignment horizontal="center" vertical="center"/>
    </xf>
    <xf numFmtId="4" fontId="17" fillId="16" borderId="18" xfId="0" applyNumberFormat="1" applyFont="1" applyFill="1" applyBorder="1" applyAlignment="1">
      <alignment vertical="center"/>
    </xf>
    <xf numFmtId="0" fontId="5" fillId="9" borderId="18" xfId="0" applyFont="1" applyFill="1" applyBorder="1" applyAlignment="1">
      <alignment horizontal="left" vertical="center"/>
    </xf>
    <xf numFmtId="4" fontId="5" fillId="9" borderId="18" xfId="0" applyNumberFormat="1" applyFont="1" applyFill="1" applyBorder="1" applyAlignment="1">
      <alignment horizontal="right" vertical="center"/>
    </xf>
    <xf numFmtId="0" fontId="5" fillId="9" borderId="18" xfId="0" applyFont="1" applyFill="1" applyBorder="1" applyAlignment="1">
      <alignment horizontal="left" vertical="center" wrapText="1"/>
    </xf>
    <xf numFmtId="4" fontId="5" fillId="9" borderId="18" xfId="0" applyNumberFormat="1" applyFont="1" applyFill="1" applyBorder="1" applyAlignment="1">
      <alignment horizontal="right" vertical="center" wrapText="1"/>
    </xf>
    <xf numFmtId="4" fontId="17" fillId="16" borderId="18" xfId="0" applyNumberFormat="1" applyFont="1" applyFill="1" applyBorder="1" applyAlignment="1">
      <alignment horizontal="right" vertical="center"/>
    </xf>
    <xf numFmtId="0" fontId="0" fillId="0" borderId="18" xfId="0" applyBorder="1"/>
    <xf numFmtId="0" fontId="2" fillId="16" borderId="18" xfId="0" applyFont="1" applyFill="1" applyBorder="1" applyAlignment="1" applyProtection="1">
      <alignment horizontal="right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9" fillId="0" borderId="0" xfId="0" applyFont="1" applyFill="1" applyAlignment="1" applyProtection="1">
      <alignment vertical="center"/>
      <protection locked="0"/>
    </xf>
    <xf numFmtId="43" fontId="0" fillId="0" borderId="0" xfId="0" applyNumberFormat="1" applyProtection="1">
      <protection locked="0"/>
    </xf>
    <xf numFmtId="4" fontId="5" fillId="11" borderId="14" xfId="0" applyNumberFormat="1" applyFont="1" applyFill="1" applyBorder="1" applyAlignment="1" applyProtection="1">
      <alignment horizontal="right" vertical="center"/>
      <protection locked="0"/>
    </xf>
    <xf numFmtId="10" fontId="8" fillId="7" borderId="11" xfId="1" applyNumberFormat="1" applyFont="1" applyFill="1" applyBorder="1" applyAlignment="1" applyProtection="1">
      <alignment vertical="center" wrapText="1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9" fillId="4" borderId="0" xfId="0" applyFont="1" applyFill="1" applyAlignment="1" applyProtection="1">
      <alignment horizontal="left" vertical="center"/>
      <protection locked="0"/>
    </xf>
    <xf numFmtId="0" fontId="8" fillId="8" borderId="7" xfId="0" applyFont="1" applyFill="1" applyBorder="1" applyAlignment="1" applyProtection="1">
      <alignment horizontal="left" vertical="center" wrapText="1"/>
      <protection locked="0"/>
    </xf>
    <xf numFmtId="0" fontId="10" fillId="6" borderId="10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showGridLines="0" topLeftCell="F1" zoomScale="90" zoomScaleNormal="90" workbookViewId="0">
      <selection activeCell="M23" sqref="M23"/>
    </sheetView>
  </sheetViews>
  <sheetFormatPr defaultRowHeight="15" x14ac:dyDescent="0.25"/>
  <cols>
    <col min="1" max="1" width="46.85546875" style="4" bestFit="1" customWidth="1"/>
    <col min="2" max="5" width="15.7109375" style="4" customWidth="1"/>
    <col min="6" max="6" width="18.42578125" style="4" customWidth="1"/>
    <col min="7" max="9" width="15.7109375" style="4" customWidth="1"/>
    <col min="10" max="13" width="9.140625" style="4"/>
    <col min="14" max="14" width="12.140625" style="4" bestFit="1" customWidth="1"/>
    <col min="15" max="16384" width="9.140625" style="4"/>
  </cols>
  <sheetData>
    <row r="1" spans="1:18" ht="24" customHeight="1" x14ac:dyDescent="0.25">
      <c r="A1" s="180" t="s">
        <v>303</v>
      </c>
      <c r="B1" s="181"/>
      <c r="C1" s="181"/>
      <c r="D1" s="181"/>
      <c r="E1" s="181"/>
      <c r="F1" s="181"/>
      <c r="G1" s="181"/>
      <c r="H1" s="181"/>
      <c r="I1" s="181"/>
    </row>
    <row r="2" spans="1:18" x14ac:dyDescent="0.25">
      <c r="A2" s="35"/>
    </row>
    <row r="3" spans="1:18" ht="104.25" customHeight="1" x14ac:dyDescent="0.25">
      <c r="A3" s="91" t="s">
        <v>14</v>
      </c>
      <c r="B3" s="92" t="s">
        <v>99</v>
      </c>
      <c r="C3" s="92" t="s">
        <v>187</v>
      </c>
      <c r="D3" s="92" t="s">
        <v>284</v>
      </c>
      <c r="E3" s="92" t="s">
        <v>286</v>
      </c>
      <c r="F3" s="92" t="s">
        <v>290</v>
      </c>
      <c r="G3" s="92" t="s">
        <v>285</v>
      </c>
      <c r="H3" s="92" t="s">
        <v>288</v>
      </c>
      <c r="I3" s="92" t="s">
        <v>289</v>
      </c>
    </row>
    <row r="4" spans="1:18" x14ac:dyDescent="0.25">
      <c r="A4" s="93" t="s">
        <v>175</v>
      </c>
      <c r="B4" s="1">
        <v>5886269</v>
      </c>
      <c r="C4" s="1">
        <v>5886269</v>
      </c>
      <c r="D4" s="1">
        <v>2242461.5400000005</v>
      </c>
      <c r="E4" s="1">
        <f>C4-D4</f>
        <v>3643807.4599999995</v>
      </c>
      <c r="F4" s="94">
        <f>D4/C4</f>
        <v>0.38096484207568504</v>
      </c>
      <c r="G4" s="1">
        <v>2430381.52</v>
      </c>
      <c r="H4" s="146">
        <f>D4-G4</f>
        <v>-187919.97999999952</v>
      </c>
      <c r="I4" s="94">
        <f>(D4-G4)/G4</f>
        <v>-7.7321185358584982E-2</v>
      </c>
      <c r="O4" s="108"/>
      <c r="P4" s="108"/>
      <c r="R4" s="108"/>
    </row>
    <row r="5" spans="1:18" x14ac:dyDescent="0.25">
      <c r="A5" s="93" t="s">
        <v>176</v>
      </c>
      <c r="B5" s="1">
        <v>4761842</v>
      </c>
      <c r="C5" s="1">
        <v>4761842</v>
      </c>
      <c r="D5" s="1">
        <v>3291208.88</v>
      </c>
      <c r="E5" s="1">
        <f t="shared" ref="E5:E6" si="0">C5-D5</f>
        <v>1470633.12</v>
      </c>
      <c r="F5" s="94">
        <f t="shared" ref="F5:F7" si="1">D5/C5</f>
        <v>0.69116297432800167</v>
      </c>
      <c r="G5" s="1">
        <v>2833161.74</v>
      </c>
      <c r="H5" s="146">
        <f t="shared" ref="H5:H6" si="2">D5-G5</f>
        <v>458047.13999999966</v>
      </c>
      <c r="I5" s="94">
        <f t="shared" ref="I5:I14" si="3">(D5-G5)/G5</f>
        <v>0.16167348779741733</v>
      </c>
      <c r="O5" s="108"/>
      <c r="P5" s="108"/>
      <c r="R5" s="108"/>
    </row>
    <row r="6" spans="1:18" x14ac:dyDescent="0.25">
      <c r="A6" s="93" t="s">
        <v>177</v>
      </c>
      <c r="B6" s="1">
        <v>1686509</v>
      </c>
      <c r="C6" s="1">
        <v>1686509</v>
      </c>
      <c r="D6" s="1">
        <v>908058.67</v>
      </c>
      <c r="E6" s="1">
        <f t="shared" si="0"/>
        <v>778450.33</v>
      </c>
      <c r="F6" s="94">
        <f t="shared" si="1"/>
        <v>0.53842503656962404</v>
      </c>
      <c r="G6" s="1">
        <v>734314.75</v>
      </c>
      <c r="H6" s="146">
        <f t="shared" si="2"/>
        <v>173743.92000000004</v>
      </c>
      <c r="I6" s="94">
        <f t="shared" si="3"/>
        <v>0.23660687736423658</v>
      </c>
      <c r="O6" s="108"/>
      <c r="P6" s="108"/>
      <c r="R6" s="108"/>
    </row>
    <row r="7" spans="1:18" x14ac:dyDescent="0.25">
      <c r="A7" s="95" t="s">
        <v>180</v>
      </c>
      <c r="B7" s="2">
        <f t="shared" ref="B7:H7" si="4">B4+B5+B6</f>
        <v>12334620</v>
      </c>
      <c r="C7" s="2">
        <f t="shared" si="4"/>
        <v>12334620</v>
      </c>
      <c r="D7" s="2">
        <f t="shared" si="4"/>
        <v>6441729.0899999999</v>
      </c>
      <c r="E7" s="2">
        <f t="shared" ref="E7:E13" si="5">C7-D7</f>
        <v>5892890.9100000001</v>
      </c>
      <c r="F7" s="96">
        <f t="shared" si="1"/>
        <v>0.5222478754919081</v>
      </c>
      <c r="G7" s="2">
        <f>G4+G5+G6</f>
        <v>5997858.0099999998</v>
      </c>
      <c r="H7" s="147">
        <f t="shared" si="4"/>
        <v>443871.08000000019</v>
      </c>
      <c r="I7" s="96">
        <f t="shared" si="3"/>
        <v>7.4004932971062462E-2</v>
      </c>
      <c r="O7" s="108"/>
      <c r="P7" s="108"/>
      <c r="R7" s="108"/>
    </row>
    <row r="8" spans="1:18" x14ac:dyDescent="0.25">
      <c r="A8" s="93" t="s">
        <v>178</v>
      </c>
      <c r="B8" s="1">
        <v>1065133</v>
      </c>
      <c r="C8" s="1">
        <v>1065133</v>
      </c>
      <c r="D8" s="1">
        <v>55607.08</v>
      </c>
      <c r="E8" s="1">
        <f t="shared" si="5"/>
        <v>1009525.92</v>
      </c>
      <c r="F8" s="94">
        <f>D8/C8</f>
        <v>5.2206700947205656E-2</v>
      </c>
      <c r="G8" s="1">
        <v>194106.93</v>
      </c>
      <c r="H8" s="146">
        <f>D8-G8</f>
        <v>-138499.84999999998</v>
      </c>
      <c r="I8" s="94">
        <f t="shared" si="3"/>
        <v>-0.71352346873962713</v>
      </c>
      <c r="O8" s="108"/>
      <c r="P8" s="108"/>
      <c r="R8" s="108"/>
    </row>
    <row r="9" spans="1:18" x14ac:dyDescent="0.25">
      <c r="A9" s="93" t="s">
        <v>179</v>
      </c>
      <c r="B9" s="1">
        <v>0</v>
      </c>
      <c r="C9" s="1"/>
      <c r="D9" s="1">
        <v>0</v>
      </c>
      <c r="E9" s="1">
        <f t="shared" si="5"/>
        <v>0</v>
      </c>
      <c r="F9" s="94"/>
      <c r="G9" s="1">
        <v>0</v>
      </c>
      <c r="H9" s="146">
        <f>D9-G9</f>
        <v>0</v>
      </c>
      <c r="I9" s="94"/>
      <c r="O9" s="108"/>
      <c r="P9" s="108"/>
      <c r="R9" s="108"/>
    </row>
    <row r="10" spans="1:18" x14ac:dyDescent="0.25">
      <c r="A10" s="95" t="s">
        <v>181</v>
      </c>
      <c r="B10" s="2">
        <f t="shared" ref="B10:D10" si="6">B8+B9</f>
        <v>1065133</v>
      </c>
      <c r="C10" s="2">
        <f t="shared" si="6"/>
        <v>1065133</v>
      </c>
      <c r="D10" s="2">
        <f t="shared" si="6"/>
        <v>55607.08</v>
      </c>
      <c r="E10" s="2">
        <f t="shared" si="5"/>
        <v>1009525.92</v>
      </c>
      <c r="F10" s="96">
        <f t="shared" ref="F10:F14" si="7">D10/C10</f>
        <v>5.2206700947205656E-2</v>
      </c>
      <c r="G10" s="2">
        <f>G8+G9</f>
        <v>194106.93</v>
      </c>
      <c r="H10" s="147">
        <f>H8+H9</f>
        <v>-138499.84999999998</v>
      </c>
      <c r="I10" s="96">
        <f t="shared" si="3"/>
        <v>-0.71352346873962713</v>
      </c>
      <c r="O10" s="108"/>
      <c r="P10" s="108"/>
      <c r="R10" s="108"/>
    </row>
    <row r="11" spans="1:18" x14ac:dyDescent="0.25">
      <c r="A11" s="93" t="s">
        <v>182</v>
      </c>
      <c r="B11" s="1">
        <v>0</v>
      </c>
      <c r="C11" s="1">
        <f>160.85+3680</f>
        <v>3840.85</v>
      </c>
      <c r="D11" s="1">
        <v>0</v>
      </c>
      <c r="E11" s="1">
        <f t="shared" si="5"/>
        <v>3840.85</v>
      </c>
      <c r="F11" s="94">
        <f t="shared" si="7"/>
        <v>0</v>
      </c>
      <c r="G11" s="1">
        <v>0</v>
      </c>
      <c r="H11" s="146">
        <f>D11-G11</f>
        <v>0</v>
      </c>
      <c r="I11" s="94"/>
      <c r="O11" s="108"/>
      <c r="P11" s="108"/>
      <c r="R11" s="108"/>
    </row>
    <row r="12" spans="1:18" x14ac:dyDescent="0.25">
      <c r="A12" s="93" t="s">
        <v>183</v>
      </c>
      <c r="B12" s="1"/>
      <c r="C12" s="1">
        <v>2400</v>
      </c>
      <c r="D12" s="1">
        <v>0</v>
      </c>
      <c r="E12" s="1">
        <f t="shared" si="5"/>
        <v>2400</v>
      </c>
      <c r="F12" s="94">
        <f t="shared" si="7"/>
        <v>0</v>
      </c>
      <c r="G12" s="1">
        <v>34125.11</v>
      </c>
      <c r="H12" s="146">
        <f>D12-G12</f>
        <v>-34125.11</v>
      </c>
      <c r="I12" s="94">
        <f t="shared" si="3"/>
        <v>-1</v>
      </c>
      <c r="R12" s="108"/>
    </row>
    <row r="13" spans="1:18" x14ac:dyDescent="0.25">
      <c r="A13" s="95" t="s">
        <v>184</v>
      </c>
      <c r="B13" s="2">
        <f t="shared" ref="B13" si="8">B11+B12</f>
        <v>0</v>
      </c>
      <c r="C13" s="111">
        <f>C11+C12</f>
        <v>6240.85</v>
      </c>
      <c r="D13" s="2">
        <f>D11+D12</f>
        <v>0</v>
      </c>
      <c r="E13" s="2">
        <f t="shared" si="5"/>
        <v>6240.85</v>
      </c>
      <c r="F13" s="96">
        <f t="shared" si="7"/>
        <v>0</v>
      </c>
      <c r="G13" s="2">
        <f>G11+G12</f>
        <v>34125.11</v>
      </c>
      <c r="H13" s="147">
        <f>H11+H12</f>
        <v>-34125.11</v>
      </c>
      <c r="I13" s="96">
        <f>IFERROR((D13-G13)/G13,0)</f>
        <v>-1</v>
      </c>
      <c r="O13" s="108"/>
      <c r="P13" s="108"/>
      <c r="R13" s="108"/>
    </row>
    <row r="14" spans="1:18" ht="15.75" x14ac:dyDescent="0.25">
      <c r="A14" s="97" t="s">
        <v>185</v>
      </c>
      <c r="B14" s="98">
        <f>B7+B10+B13</f>
        <v>13399753</v>
      </c>
      <c r="C14" s="98">
        <f t="shared" ref="C14:E14" si="9">C7+C10+C13</f>
        <v>13405993.85</v>
      </c>
      <c r="D14" s="98">
        <f t="shared" si="9"/>
        <v>6497336.1699999999</v>
      </c>
      <c r="E14" s="98">
        <f t="shared" si="9"/>
        <v>6908657.6799999997</v>
      </c>
      <c r="F14" s="99">
        <f t="shared" si="7"/>
        <v>0.48465904450642427</v>
      </c>
      <c r="G14" s="98">
        <f>G7+G10+G13</f>
        <v>6226090.0499999998</v>
      </c>
      <c r="H14" s="148">
        <f>H7+H10+H13</f>
        <v>271246.12000000023</v>
      </c>
      <c r="I14" s="99">
        <f t="shared" si="3"/>
        <v>4.3566045113658469E-2</v>
      </c>
      <c r="O14" s="108"/>
      <c r="P14" s="108"/>
      <c r="R14" s="108"/>
    </row>
    <row r="15" spans="1:18" x14ac:dyDescent="0.25">
      <c r="A15" s="35"/>
      <c r="B15" s="100"/>
      <c r="C15" s="100"/>
      <c r="D15" s="100"/>
      <c r="E15" s="101"/>
      <c r="F15" s="101"/>
      <c r="O15" s="108"/>
      <c r="P15" s="108"/>
      <c r="R15" s="108"/>
    </row>
    <row r="16" spans="1:18" x14ac:dyDescent="0.25">
      <c r="A16" s="102"/>
      <c r="B16" s="103"/>
      <c r="C16" s="103"/>
      <c r="D16" s="103"/>
      <c r="E16" s="104"/>
      <c r="F16" s="105"/>
      <c r="O16" s="108"/>
      <c r="P16" s="108"/>
      <c r="R16" s="108"/>
    </row>
    <row r="17" spans="1:18" x14ac:dyDescent="0.25">
      <c r="O17" s="108"/>
      <c r="P17" s="108"/>
      <c r="R17" s="108"/>
    </row>
    <row r="18" spans="1:18" ht="18.75" x14ac:dyDescent="0.25">
      <c r="A18" s="180" t="s">
        <v>309</v>
      </c>
      <c r="B18" s="181"/>
      <c r="C18" s="181"/>
      <c r="D18" s="181"/>
      <c r="E18" s="181"/>
      <c r="F18" s="181"/>
      <c r="G18" s="181"/>
      <c r="H18" s="181"/>
      <c r="I18" s="181"/>
      <c r="J18" s="149"/>
      <c r="O18" s="108"/>
      <c r="P18" s="108"/>
      <c r="R18" s="108"/>
    </row>
    <row r="19" spans="1:18" x14ac:dyDescent="0.25">
      <c r="A19" s="35"/>
      <c r="B19" s="119"/>
      <c r="C19" s="119"/>
      <c r="D19" s="119"/>
      <c r="E19" s="119"/>
      <c r="F19" s="119"/>
      <c r="G19" s="119"/>
      <c r="H19" s="119"/>
      <c r="I19" s="119"/>
      <c r="J19" s="119"/>
      <c r="O19" s="108"/>
      <c r="P19" s="108"/>
      <c r="R19" s="108"/>
    </row>
    <row r="20" spans="1:18" ht="75" x14ac:dyDescent="0.25">
      <c r="A20" s="67" t="s">
        <v>37</v>
      </c>
      <c r="B20" s="50" t="s">
        <v>99</v>
      </c>
      <c r="C20" s="50" t="s">
        <v>187</v>
      </c>
      <c r="D20" s="50" t="s">
        <v>284</v>
      </c>
      <c r="E20" s="50" t="s">
        <v>285</v>
      </c>
      <c r="F20" s="48" t="s">
        <v>98</v>
      </c>
      <c r="G20" s="50" t="s">
        <v>287</v>
      </c>
      <c r="H20" s="50" t="s">
        <v>288</v>
      </c>
      <c r="I20" s="50" t="s">
        <v>289</v>
      </c>
      <c r="N20" s="108"/>
      <c r="O20" s="108"/>
      <c r="Q20" s="108"/>
    </row>
    <row r="21" spans="1:18" x14ac:dyDescent="0.25">
      <c r="A21" s="75" t="s">
        <v>0</v>
      </c>
      <c r="B21" s="52">
        <v>7883305</v>
      </c>
      <c r="C21" s="52">
        <v>7883305</v>
      </c>
      <c r="D21" s="52">
        <v>4497766.87</v>
      </c>
      <c r="E21" s="52">
        <v>3566453.45</v>
      </c>
      <c r="F21" s="53">
        <f>D21/C21</f>
        <v>0.57054330258692265</v>
      </c>
      <c r="G21" s="69">
        <f>C21-D21</f>
        <v>3385538.13</v>
      </c>
      <c r="H21" s="52">
        <f>D21-E21</f>
        <v>931313.41999999993</v>
      </c>
      <c r="I21" s="53">
        <f>(D21-E21)/E21</f>
        <v>0.26113152268957834</v>
      </c>
      <c r="N21" s="108"/>
      <c r="O21" s="108"/>
      <c r="Q21" s="108"/>
    </row>
    <row r="22" spans="1:18" x14ac:dyDescent="0.25">
      <c r="A22" s="75" t="s">
        <v>1</v>
      </c>
      <c r="B22" s="52">
        <v>1469980</v>
      </c>
      <c r="C22" s="52">
        <v>1469980</v>
      </c>
      <c r="D22" s="52">
        <v>662118.05000000005</v>
      </c>
      <c r="E22" s="52">
        <v>667869.15</v>
      </c>
      <c r="F22" s="53">
        <f t="shared" ref="F22:F24" si="10">D22/C22</f>
        <v>0.45042657042952966</v>
      </c>
      <c r="G22" s="69">
        <f t="shared" ref="G22:H27" si="11">C22-D22</f>
        <v>807861.95</v>
      </c>
      <c r="H22" s="52">
        <f t="shared" si="11"/>
        <v>-5751.0999999999767</v>
      </c>
      <c r="I22" s="53">
        <f t="shared" ref="I22:I27" si="12">(D22-E22)/E22</f>
        <v>-8.6111179113453236E-3</v>
      </c>
      <c r="N22" s="108"/>
      <c r="O22" s="108"/>
      <c r="Q22" s="108"/>
    </row>
    <row r="23" spans="1:18" x14ac:dyDescent="0.25">
      <c r="A23" s="75" t="s">
        <v>2</v>
      </c>
      <c r="B23" s="52">
        <v>225000</v>
      </c>
      <c r="C23" s="52">
        <v>225000</v>
      </c>
      <c r="D23" s="52">
        <v>107497.92</v>
      </c>
      <c r="E23" s="52">
        <v>93620.49</v>
      </c>
      <c r="F23" s="53">
        <f t="shared" si="10"/>
        <v>0.4777685333333333</v>
      </c>
      <c r="G23" s="69">
        <f t="shared" si="11"/>
        <v>117502.08</v>
      </c>
      <c r="H23" s="52">
        <f t="shared" si="11"/>
        <v>13877.429999999993</v>
      </c>
      <c r="I23" s="53">
        <f t="shared" si="12"/>
        <v>0.14823069180688964</v>
      </c>
      <c r="N23" s="108"/>
      <c r="O23" s="108"/>
      <c r="Q23" s="108"/>
    </row>
    <row r="24" spans="1:18" x14ac:dyDescent="0.25">
      <c r="A24" s="75" t="s">
        <v>3</v>
      </c>
      <c r="B24" s="52">
        <v>614157</v>
      </c>
      <c r="C24" s="52">
        <v>614157</v>
      </c>
      <c r="D24" s="52">
        <v>273274.99</v>
      </c>
      <c r="E24" s="52">
        <v>219344.73</v>
      </c>
      <c r="F24" s="53">
        <f t="shared" si="10"/>
        <v>0.44495949732723067</v>
      </c>
      <c r="G24" s="69">
        <f t="shared" si="11"/>
        <v>340882.01</v>
      </c>
      <c r="H24" s="52">
        <f t="shared" si="11"/>
        <v>53930.25999999998</v>
      </c>
      <c r="I24" s="53">
        <f t="shared" si="12"/>
        <v>0.24586986885894171</v>
      </c>
      <c r="N24" s="108"/>
      <c r="O24" s="108"/>
      <c r="Q24" s="108"/>
    </row>
    <row r="25" spans="1:18" x14ac:dyDescent="0.25">
      <c r="A25" s="75" t="s">
        <v>4</v>
      </c>
      <c r="B25" s="52">
        <v>3207311</v>
      </c>
      <c r="C25" s="52">
        <v>3207311</v>
      </c>
      <c r="D25" s="52">
        <v>956678.34</v>
      </c>
      <c r="E25" s="52">
        <v>1678802.23</v>
      </c>
      <c r="F25" s="53">
        <f>D25/C25</f>
        <v>0.29828050351213209</v>
      </c>
      <c r="G25" s="69">
        <f t="shared" si="11"/>
        <v>2250632.66</v>
      </c>
      <c r="H25" s="52">
        <f t="shared" si="11"/>
        <v>-722123.89</v>
      </c>
      <c r="I25" s="53">
        <f t="shared" si="12"/>
        <v>-0.43014232236277172</v>
      </c>
      <c r="N25" s="108"/>
      <c r="O25" s="108"/>
      <c r="Q25" s="108"/>
    </row>
    <row r="26" spans="1:18" x14ac:dyDescent="0.25">
      <c r="A26" s="75" t="s">
        <v>95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f>C26-D26</f>
        <v>0</v>
      </c>
      <c r="H26" s="52">
        <f t="shared" si="11"/>
        <v>0</v>
      </c>
      <c r="I26" s="52">
        <f>IFERROR((D26-E26)/E26,0)</f>
        <v>0</v>
      </c>
      <c r="N26" s="108"/>
      <c r="O26" s="108"/>
      <c r="Q26" s="108"/>
    </row>
    <row r="27" spans="1:18" x14ac:dyDescent="0.25">
      <c r="A27" s="70" t="s">
        <v>5</v>
      </c>
      <c r="B27" s="58">
        <f>SUM(B21:B25)</f>
        <v>13399753</v>
      </c>
      <c r="C27" s="58">
        <f>SUM(C21:C25)</f>
        <v>13399753</v>
      </c>
      <c r="D27" s="58">
        <f>SUM(D21:D25)</f>
        <v>6497336.1699999999</v>
      </c>
      <c r="E27" s="58">
        <f>SUM(E21:E25)</f>
        <v>6226090.0500000007</v>
      </c>
      <c r="F27" s="59">
        <f>D27/C27</f>
        <v>0.48488477138347252</v>
      </c>
      <c r="G27" s="65">
        <f t="shared" si="11"/>
        <v>6902416.8300000001</v>
      </c>
      <c r="H27" s="58">
        <f t="shared" si="11"/>
        <v>271246.11999999918</v>
      </c>
      <c r="I27" s="81">
        <f t="shared" si="12"/>
        <v>4.3566045113658317E-2</v>
      </c>
      <c r="N27" s="108"/>
      <c r="O27" s="108"/>
      <c r="Q27" s="108"/>
    </row>
    <row r="28" spans="1:18" x14ac:dyDescent="0.25">
      <c r="O28" s="108"/>
      <c r="P28" s="108"/>
      <c r="R28" s="108"/>
    </row>
    <row r="29" spans="1:18" x14ac:dyDescent="0.25">
      <c r="E29" s="177"/>
      <c r="O29" s="108"/>
      <c r="P29" s="108"/>
      <c r="R29" s="108"/>
    </row>
    <row r="30" spans="1:18" x14ac:dyDescent="0.25">
      <c r="O30" s="108"/>
      <c r="P30" s="108"/>
      <c r="R30" s="108"/>
    </row>
    <row r="31" spans="1:18" x14ac:dyDescent="0.25">
      <c r="O31" s="108"/>
      <c r="P31" s="108"/>
      <c r="R31" s="108"/>
    </row>
    <row r="32" spans="1:18" x14ac:dyDescent="0.25">
      <c r="O32" s="108"/>
      <c r="P32" s="108"/>
      <c r="R32" s="108"/>
    </row>
    <row r="33" spans="2:18" x14ac:dyDescent="0.25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Q33" s="108"/>
      <c r="R33" s="108"/>
    </row>
    <row r="34" spans="2:18" x14ac:dyDescent="0.25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</row>
  </sheetData>
  <mergeCells count="2">
    <mergeCell ref="A1:I1"/>
    <mergeCell ref="A18:I18"/>
  </mergeCells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F015-9658-4031-AF8A-DCA20AE76D35}">
  <sheetPr>
    <pageSetUpPr fitToPage="1"/>
  </sheetPr>
  <dimension ref="A1:R34"/>
  <sheetViews>
    <sheetView workbookViewId="0">
      <selection activeCell="F26" sqref="A1:F26"/>
    </sheetView>
  </sheetViews>
  <sheetFormatPr defaultRowHeight="15" x14ac:dyDescent="0.25"/>
  <cols>
    <col min="1" max="1" width="34.28515625" style="4" bestFit="1" customWidth="1"/>
    <col min="2" max="2" width="13.7109375" style="4" customWidth="1"/>
    <col min="3" max="3" width="18.7109375" style="4" customWidth="1"/>
    <col min="4" max="4" width="13.7109375" style="4" customWidth="1"/>
    <col min="5" max="5" width="18.7109375" style="4" customWidth="1"/>
    <col min="6" max="6" width="13.7109375" style="4" customWidth="1"/>
    <col min="7" max="16384" width="9.140625" style="4"/>
  </cols>
  <sheetData>
    <row r="1" spans="1:18" ht="18.75" x14ac:dyDescent="0.25">
      <c r="A1" s="182" t="s">
        <v>307</v>
      </c>
      <c r="B1" s="182"/>
      <c r="C1" s="182"/>
      <c r="D1" s="182"/>
      <c r="E1" s="182"/>
      <c r="F1" s="182"/>
    </row>
    <row r="2" spans="1:18" x14ac:dyDescent="0.25">
      <c r="A2" s="3"/>
      <c r="B2" s="3"/>
      <c r="C2" s="3"/>
      <c r="D2" s="3"/>
      <c r="E2" s="3"/>
      <c r="F2" s="3"/>
    </row>
    <row r="3" spans="1:18" ht="45" x14ac:dyDescent="0.25">
      <c r="A3" s="5" t="s">
        <v>100</v>
      </c>
      <c r="B3" s="5" t="s">
        <v>101</v>
      </c>
      <c r="C3" s="5" t="s">
        <v>282</v>
      </c>
      <c r="D3" s="5" t="s">
        <v>102</v>
      </c>
      <c r="E3" s="5" t="s">
        <v>283</v>
      </c>
      <c r="F3" s="6" t="s">
        <v>281</v>
      </c>
    </row>
    <row r="4" spans="1:18" ht="30" customHeight="1" x14ac:dyDescent="0.25">
      <c r="A4" s="7" t="s">
        <v>103</v>
      </c>
      <c r="B4" s="8">
        <f>B22+B26</f>
        <v>1065133</v>
      </c>
      <c r="C4" s="8">
        <f>C22+C26</f>
        <v>475026.57</v>
      </c>
      <c r="D4" s="9">
        <f>IFERROR(C4/B4,0)</f>
        <v>0.44597864304269985</v>
      </c>
      <c r="E4" s="8">
        <f>E22+E26</f>
        <v>416973.57</v>
      </c>
      <c r="F4" s="10">
        <f t="shared" ref="F4:F19" si="0">C4-E4</f>
        <v>58053</v>
      </c>
      <c r="O4" s="108"/>
      <c r="P4" s="108"/>
      <c r="R4" s="108"/>
    </row>
    <row r="5" spans="1:18" x14ac:dyDescent="0.25">
      <c r="A5" s="11" t="s">
        <v>104</v>
      </c>
      <c r="B5" s="12">
        <f>B6+B7</f>
        <v>478502</v>
      </c>
      <c r="C5" s="12">
        <f>C6+C7</f>
        <v>102332.07</v>
      </c>
      <c r="D5" s="13">
        <f>IFERROR(C5/B5,0)</f>
        <v>0.21385923151836359</v>
      </c>
      <c r="E5" s="12">
        <f>E6+E7</f>
        <v>146206.39999999999</v>
      </c>
      <c r="F5" s="14">
        <f t="shared" si="0"/>
        <v>-43874.329999999987</v>
      </c>
      <c r="O5" s="108"/>
      <c r="P5" s="108"/>
      <c r="R5" s="108"/>
    </row>
    <row r="6" spans="1:18" x14ac:dyDescent="0.25">
      <c r="A6" s="15" t="s">
        <v>105</v>
      </c>
      <c r="B6" s="16">
        <v>93925</v>
      </c>
      <c r="C6" s="16">
        <v>0</v>
      </c>
      <c r="D6" s="16">
        <v>0</v>
      </c>
      <c r="E6" s="16">
        <v>0</v>
      </c>
      <c r="F6" s="17">
        <f t="shared" si="0"/>
        <v>0</v>
      </c>
      <c r="O6" s="108"/>
      <c r="P6" s="108"/>
      <c r="R6" s="108"/>
    </row>
    <row r="7" spans="1:18" x14ac:dyDescent="0.25">
      <c r="A7" s="15" t="s">
        <v>106</v>
      </c>
      <c r="B7" s="16">
        <v>384577</v>
      </c>
      <c r="C7" s="16">
        <v>102332.07</v>
      </c>
      <c r="D7" s="18">
        <f t="shared" ref="D7:D18" si="1">IFERROR(C7/B7,0)</f>
        <v>0.26608993777579004</v>
      </c>
      <c r="E7" s="16">
        <v>146206.39999999999</v>
      </c>
      <c r="F7" s="17">
        <f t="shared" si="0"/>
        <v>-43874.329999999987</v>
      </c>
      <c r="O7" s="108"/>
      <c r="P7" s="108"/>
      <c r="R7" s="108"/>
    </row>
    <row r="8" spans="1:18" x14ac:dyDescent="0.25">
      <c r="A8" s="11" t="s">
        <v>107</v>
      </c>
      <c r="B8" s="12">
        <v>456631</v>
      </c>
      <c r="C8" s="12">
        <f>SUM(C9:C13)</f>
        <v>201562</v>
      </c>
      <c r="D8" s="13">
        <f t="shared" si="1"/>
        <v>0.44141111751063772</v>
      </c>
      <c r="E8" s="12">
        <f>SUM(E9:E13)</f>
        <v>125934.73000000001</v>
      </c>
      <c r="F8" s="14">
        <f t="shared" si="0"/>
        <v>75627.26999999999</v>
      </c>
      <c r="O8" s="108"/>
      <c r="P8" s="108"/>
      <c r="R8" s="108"/>
    </row>
    <row r="9" spans="1:18" x14ac:dyDescent="0.25">
      <c r="A9" s="15" t="s">
        <v>108</v>
      </c>
      <c r="B9" s="16">
        <v>20000</v>
      </c>
      <c r="C9" s="16">
        <v>57576.9</v>
      </c>
      <c r="D9" s="18">
        <f t="shared" si="1"/>
        <v>2.8788450000000001</v>
      </c>
      <c r="E9" s="16">
        <v>7536.6</v>
      </c>
      <c r="F9" s="17">
        <f t="shared" si="0"/>
        <v>50040.3</v>
      </c>
      <c r="O9" s="108"/>
      <c r="P9" s="108"/>
      <c r="R9" s="108"/>
    </row>
    <row r="10" spans="1:18" x14ac:dyDescent="0.25">
      <c r="A10" s="15" t="s">
        <v>109</v>
      </c>
      <c r="B10" s="16">
        <v>24000</v>
      </c>
      <c r="C10" s="16">
        <v>18587.099999999999</v>
      </c>
      <c r="D10" s="18">
        <f t="shared" si="1"/>
        <v>0.77446249999999994</v>
      </c>
      <c r="E10" s="16">
        <v>8585</v>
      </c>
      <c r="F10" s="17">
        <f t="shared" si="0"/>
        <v>10002.099999999999</v>
      </c>
      <c r="O10" s="108"/>
      <c r="P10" s="108"/>
      <c r="R10" s="108"/>
    </row>
    <row r="11" spans="1:18" x14ac:dyDescent="0.25">
      <c r="A11" s="15" t="s">
        <v>110</v>
      </c>
      <c r="B11" s="16">
        <v>71000</v>
      </c>
      <c r="C11" s="16">
        <v>44515</v>
      </c>
      <c r="D11" s="18">
        <f t="shared" si="1"/>
        <v>0.62697183098591547</v>
      </c>
      <c r="E11" s="16">
        <v>39825</v>
      </c>
      <c r="F11" s="17">
        <f t="shared" si="0"/>
        <v>4690</v>
      </c>
      <c r="O11" s="108"/>
      <c r="P11" s="108"/>
      <c r="R11" s="108"/>
    </row>
    <row r="12" spans="1:18" x14ac:dyDescent="0.25">
      <c r="A12" s="15" t="s">
        <v>111</v>
      </c>
      <c r="B12" s="16">
        <v>309631</v>
      </c>
      <c r="C12" s="16">
        <v>27626.97</v>
      </c>
      <c r="D12" s="18">
        <f t="shared" si="1"/>
        <v>8.9225465150453279E-2</v>
      </c>
      <c r="E12" s="16">
        <v>11003.26</v>
      </c>
      <c r="F12" s="17">
        <f t="shared" si="0"/>
        <v>16623.71</v>
      </c>
      <c r="R12" s="108"/>
    </row>
    <row r="13" spans="1:18" x14ac:dyDescent="0.25">
      <c r="A13" s="15" t="s">
        <v>112</v>
      </c>
      <c r="B13" s="16">
        <v>32000</v>
      </c>
      <c r="C13" s="110">
        <v>53256.03</v>
      </c>
      <c r="D13" s="18">
        <f t="shared" si="1"/>
        <v>1.6642509374999999</v>
      </c>
      <c r="E13" s="16">
        <v>58984.87</v>
      </c>
      <c r="F13" s="17">
        <f t="shared" si="0"/>
        <v>-5728.8400000000038</v>
      </c>
      <c r="O13" s="108"/>
      <c r="P13" s="108"/>
      <c r="R13" s="108"/>
    </row>
    <row r="14" spans="1:18" x14ac:dyDescent="0.25">
      <c r="A14" s="11" t="s">
        <v>113</v>
      </c>
      <c r="B14" s="12">
        <v>120000</v>
      </c>
      <c r="C14" s="12">
        <f>SUM(C15:C19)</f>
        <v>43654.520000000004</v>
      </c>
      <c r="D14" s="13">
        <f t="shared" si="1"/>
        <v>0.36378766666666668</v>
      </c>
      <c r="E14" s="12">
        <f>SUM(E15:E19)</f>
        <v>37994.44</v>
      </c>
      <c r="F14" s="14">
        <f t="shared" si="0"/>
        <v>5660.0800000000017</v>
      </c>
      <c r="O14" s="108"/>
      <c r="P14" s="108"/>
      <c r="R14" s="108"/>
    </row>
    <row r="15" spans="1:18" x14ac:dyDescent="0.25">
      <c r="A15" s="15" t="s">
        <v>114</v>
      </c>
      <c r="B15" s="16">
        <v>10000</v>
      </c>
      <c r="C15" s="16">
        <v>645</v>
      </c>
      <c r="D15" s="18">
        <f t="shared" si="1"/>
        <v>6.4500000000000002E-2</v>
      </c>
      <c r="E15" s="16">
        <v>1057.6400000000001</v>
      </c>
      <c r="F15" s="17">
        <f t="shared" si="0"/>
        <v>-412.6400000000001</v>
      </c>
      <c r="O15" s="108"/>
      <c r="P15" s="108"/>
      <c r="R15" s="108"/>
    </row>
    <row r="16" spans="1:18" x14ac:dyDescent="0.25">
      <c r="A16" s="15" t="s">
        <v>115</v>
      </c>
      <c r="B16" s="16">
        <v>15000</v>
      </c>
      <c r="C16" s="16">
        <v>5922.02</v>
      </c>
      <c r="D16" s="18">
        <f t="shared" si="1"/>
        <v>0.39480133333333334</v>
      </c>
      <c r="E16" s="16">
        <v>4751.3</v>
      </c>
      <c r="F16" s="17">
        <f t="shared" si="0"/>
        <v>1170.7200000000003</v>
      </c>
      <c r="O16" s="108"/>
      <c r="P16" s="108"/>
      <c r="R16" s="108"/>
    </row>
    <row r="17" spans="1:18" x14ac:dyDescent="0.25">
      <c r="A17" s="15" t="s">
        <v>116</v>
      </c>
      <c r="B17" s="16">
        <v>40000</v>
      </c>
      <c r="C17" s="16">
        <v>30728.5</v>
      </c>
      <c r="D17" s="18">
        <f t="shared" si="1"/>
        <v>0.76821249999999996</v>
      </c>
      <c r="E17" s="16">
        <v>24779.5</v>
      </c>
      <c r="F17" s="17">
        <f t="shared" si="0"/>
        <v>5949</v>
      </c>
      <c r="O17" s="108"/>
      <c r="P17" s="108"/>
      <c r="R17" s="108"/>
    </row>
    <row r="18" spans="1:18" x14ac:dyDescent="0.25">
      <c r="A18" s="15" t="s">
        <v>117</v>
      </c>
      <c r="B18" s="16">
        <v>5000</v>
      </c>
      <c r="C18" s="16">
        <v>5609</v>
      </c>
      <c r="D18" s="18">
        <f t="shared" si="1"/>
        <v>1.1217999999999999</v>
      </c>
      <c r="E18" s="16">
        <v>6216</v>
      </c>
      <c r="F18" s="17">
        <f t="shared" si="0"/>
        <v>-607</v>
      </c>
      <c r="O18" s="108"/>
      <c r="P18" s="108"/>
      <c r="R18" s="108"/>
    </row>
    <row r="19" spans="1:18" x14ac:dyDescent="0.25">
      <c r="A19" s="15" t="s">
        <v>118</v>
      </c>
      <c r="B19" s="16">
        <v>50000</v>
      </c>
      <c r="C19" s="16">
        <v>750</v>
      </c>
      <c r="D19" s="18">
        <f>IFERROR(C19/B19,0)</f>
        <v>1.4999999999999999E-2</v>
      </c>
      <c r="E19" s="16">
        <v>1190</v>
      </c>
      <c r="F19" s="17">
        <f t="shared" si="0"/>
        <v>-440</v>
      </c>
      <c r="O19" s="108"/>
      <c r="P19" s="108"/>
      <c r="R19" s="108"/>
    </row>
    <row r="20" spans="1:18" x14ac:dyDescent="0.25">
      <c r="A20" s="11" t="s">
        <v>119</v>
      </c>
      <c r="B20" s="12">
        <f>B21</f>
        <v>10000</v>
      </c>
      <c r="C20" s="12">
        <f>C21</f>
        <v>0</v>
      </c>
      <c r="D20" s="13">
        <f>IFERROR(C20/B20,0)</f>
        <v>0</v>
      </c>
      <c r="E20" s="12">
        <f>E21</f>
        <v>5763</v>
      </c>
      <c r="F20" s="14">
        <f>F21</f>
        <v>-5763</v>
      </c>
      <c r="O20" s="108"/>
      <c r="P20" s="108"/>
      <c r="R20" s="108"/>
    </row>
    <row r="21" spans="1:18" x14ac:dyDescent="0.25">
      <c r="A21" s="19" t="s">
        <v>120</v>
      </c>
      <c r="B21" s="20">
        <v>10000</v>
      </c>
      <c r="C21" s="20">
        <v>0</v>
      </c>
      <c r="D21" s="20">
        <f t="shared" ref="D21:D26" si="2">IFERROR(C21/B21,0)</f>
        <v>0</v>
      </c>
      <c r="E21" s="20">
        <v>5763</v>
      </c>
      <c r="F21" s="21">
        <v>-5763</v>
      </c>
      <c r="O21" s="108"/>
      <c r="P21" s="108"/>
      <c r="R21" s="108"/>
    </row>
    <row r="22" spans="1:18" ht="28.9" customHeight="1" x14ac:dyDescent="0.25">
      <c r="A22" s="22" t="s">
        <v>121</v>
      </c>
      <c r="B22" s="23">
        <f>B5+B8+B14+B20</f>
        <v>1065133</v>
      </c>
      <c r="C22" s="23">
        <f>C5+C8+C14+C20</f>
        <v>347548.59</v>
      </c>
      <c r="D22" s="179">
        <f t="shared" si="2"/>
        <v>0.32629595552855845</v>
      </c>
      <c r="E22" s="23">
        <f t="shared" ref="E22:F22" si="3">E5+E8+E14+E20</f>
        <v>315898.57</v>
      </c>
      <c r="F22" s="24">
        <f t="shared" si="3"/>
        <v>31650.020000000004</v>
      </c>
      <c r="O22" s="108"/>
      <c r="P22" s="108"/>
      <c r="R22" s="108"/>
    </row>
    <row r="23" spans="1:18" x14ac:dyDescent="0.25">
      <c r="A23" s="25" t="s">
        <v>122</v>
      </c>
      <c r="B23" s="26">
        <v>0</v>
      </c>
      <c r="C23" s="26">
        <f>52355+44336</f>
        <v>96691</v>
      </c>
      <c r="D23" s="26">
        <v>0</v>
      </c>
      <c r="E23" s="27">
        <f>45330+48985</f>
        <v>94315</v>
      </c>
      <c r="F23" s="28">
        <f>C23-E23</f>
        <v>2376</v>
      </c>
      <c r="O23" s="108"/>
      <c r="P23" s="108"/>
      <c r="R23" s="108"/>
    </row>
    <row r="24" spans="1:18" x14ac:dyDescent="0.25">
      <c r="A24" s="29" t="s">
        <v>123</v>
      </c>
      <c r="B24" s="30">
        <v>0</v>
      </c>
      <c r="C24" s="30">
        <f>9150+2980</f>
        <v>12130</v>
      </c>
      <c r="D24" s="30">
        <v>0</v>
      </c>
      <c r="E24" s="31">
        <f>3115+3645</f>
        <v>6760</v>
      </c>
      <c r="F24" s="32">
        <f t="shared" ref="F24:F26" si="4">C24-E24</f>
        <v>5370</v>
      </c>
      <c r="O24" s="108"/>
      <c r="P24" s="108"/>
      <c r="R24" s="108"/>
    </row>
    <row r="25" spans="1:18" x14ac:dyDescent="0.25">
      <c r="A25" s="19" t="s">
        <v>124</v>
      </c>
      <c r="B25" s="33">
        <v>0</v>
      </c>
      <c r="C25" s="33">
        <f>17316.11+1340.87</f>
        <v>18656.98</v>
      </c>
      <c r="D25" s="33">
        <v>0</v>
      </c>
      <c r="E25" s="33">
        <v>0</v>
      </c>
      <c r="F25" s="34">
        <f t="shared" si="4"/>
        <v>18656.98</v>
      </c>
      <c r="O25" s="108"/>
      <c r="P25" s="108"/>
      <c r="R25" s="108"/>
    </row>
    <row r="26" spans="1:18" ht="28.9" customHeight="1" x14ac:dyDescent="0.25">
      <c r="A26" s="22" t="s">
        <v>125</v>
      </c>
      <c r="B26" s="23"/>
      <c r="C26" s="23">
        <f>C23+C24+C25</f>
        <v>127477.98</v>
      </c>
      <c r="D26" s="23">
        <f t="shared" si="2"/>
        <v>0</v>
      </c>
      <c r="E26" s="23">
        <f>E23+E24+E25</f>
        <v>101075</v>
      </c>
      <c r="F26" s="24">
        <f t="shared" si="4"/>
        <v>26402.979999999996</v>
      </c>
      <c r="O26" s="108"/>
      <c r="P26" s="108"/>
      <c r="R26" s="108"/>
    </row>
    <row r="27" spans="1:18" x14ac:dyDescent="0.25">
      <c r="O27" s="108"/>
      <c r="P27" s="108"/>
      <c r="R27" s="108"/>
    </row>
    <row r="28" spans="1:18" x14ac:dyDescent="0.25">
      <c r="O28" s="108"/>
      <c r="P28" s="108"/>
      <c r="R28" s="108"/>
    </row>
    <row r="29" spans="1:18" x14ac:dyDescent="0.25">
      <c r="B29" s="157"/>
      <c r="O29" s="108"/>
      <c r="P29" s="108"/>
      <c r="R29" s="108"/>
    </row>
    <row r="30" spans="1:18" x14ac:dyDescent="0.25">
      <c r="O30" s="108"/>
      <c r="P30" s="108"/>
      <c r="R30" s="108"/>
    </row>
    <row r="31" spans="1:18" x14ac:dyDescent="0.25">
      <c r="O31" s="108"/>
      <c r="P31" s="108"/>
      <c r="R31" s="108"/>
    </row>
    <row r="32" spans="1:18" x14ac:dyDescent="0.25">
      <c r="O32" s="108"/>
      <c r="P32" s="108"/>
      <c r="R32" s="108"/>
    </row>
    <row r="33" spans="2:18" x14ac:dyDescent="0.25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Q33" s="108"/>
      <c r="R33" s="108"/>
    </row>
    <row r="34" spans="2:18" x14ac:dyDescent="0.25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</row>
  </sheetData>
  <mergeCells count="1">
    <mergeCell ref="A1:F1"/>
  </mergeCells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5"/>
  <sheetViews>
    <sheetView topLeftCell="A7" workbookViewId="0">
      <selection activeCell="C33" sqref="C33"/>
    </sheetView>
  </sheetViews>
  <sheetFormatPr defaultRowHeight="15" x14ac:dyDescent="0.25"/>
  <cols>
    <col min="1" max="1" width="16.85546875" style="4" bestFit="1" customWidth="1"/>
    <col min="2" max="2" width="6" style="4" bestFit="1" customWidth="1"/>
    <col min="3" max="3" width="55.42578125" style="4" bestFit="1" customWidth="1"/>
    <col min="4" max="5" width="16.7109375" style="4" customWidth="1"/>
    <col min="6" max="7" width="13.7109375" style="4" customWidth="1"/>
    <col min="8" max="16384" width="9.140625" style="4"/>
  </cols>
  <sheetData>
    <row r="1" spans="1:18" ht="18.75" x14ac:dyDescent="0.25">
      <c r="A1" s="180" t="s">
        <v>308</v>
      </c>
      <c r="B1" s="180"/>
      <c r="C1" s="180"/>
      <c r="D1" s="180"/>
      <c r="E1" s="180"/>
      <c r="F1" s="180"/>
    </row>
    <row r="2" spans="1:18" x14ac:dyDescent="0.25">
      <c r="A2" s="3"/>
      <c r="B2" s="3"/>
      <c r="C2" s="3"/>
      <c r="D2" s="3"/>
      <c r="E2" s="3"/>
      <c r="F2" s="3"/>
    </row>
    <row r="3" spans="1:18" ht="30" customHeight="1" thickBot="1" x14ac:dyDescent="0.3">
      <c r="A3" s="82" t="s">
        <v>126</v>
      </c>
      <c r="B3" s="82" t="s">
        <v>127</v>
      </c>
      <c r="C3" s="83" t="s">
        <v>14</v>
      </c>
      <c r="D3" s="82" t="s">
        <v>279</v>
      </c>
      <c r="E3" s="82" t="s">
        <v>280</v>
      </c>
      <c r="F3" s="82" t="s">
        <v>291</v>
      </c>
    </row>
    <row r="4" spans="1:18" x14ac:dyDescent="0.25">
      <c r="A4" s="183" t="s">
        <v>153</v>
      </c>
      <c r="B4" s="183"/>
      <c r="C4" s="183"/>
      <c r="D4" s="84">
        <f>SUM(D5:D11)</f>
        <v>18587.099999999999</v>
      </c>
      <c r="E4" s="84">
        <f>SUM(E5:E11)</f>
        <v>14348</v>
      </c>
      <c r="F4" s="84">
        <f>D4-E4</f>
        <v>4239.0999999999985</v>
      </c>
      <c r="O4" s="108"/>
      <c r="P4" s="108"/>
      <c r="R4" s="108"/>
    </row>
    <row r="5" spans="1:18" x14ac:dyDescent="0.25">
      <c r="A5" s="85"/>
      <c r="B5" s="121" t="s">
        <v>20</v>
      </c>
      <c r="C5" s="86" t="s">
        <v>128</v>
      </c>
      <c r="D5" s="87">
        <v>8378</v>
      </c>
      <c r="E5" s="87">
        <v>6887</v>
      </c>
      <c r="F5" s="87">
        <f t="shared" ref="F5:F43" si="0">D5-E5</f>
        <v>1491</v>
      </c>
      <c r="O5" s="108"/>
      <c r="P5" s="108"/>
      <c r="R5" s="108"/>
    </row>
    <row r="6" spans="1:18" x14ac:dyDescent="0.25">
      <c r="A6" s="85"/>
      <c r="B6" s="121" t="s">
        <v>21</v>
      </c>
      <c r="C6" s="86" t="s">
        <v>129</v>
      </c>
      <c r="D6" s="87">
        <v>1251</v>
      </c>
      <c r="E6" s="87">
        <v>813</v>
      </c>
      <c r="F6" s="87">
        <f t="shared" si="0"/>
        <v>438</v>
      </c>
      <c r="O6" s="108"/>
      <c r="P6" s="108"/>
      <c r="R6" s="108"/>
    </row>
    <row r="7" spans="1:18" x14ac:dyDescent="0.25">
      <c r="A7" s="85"/>
      <c r="B7" s="121" t="s">
        <v>198</v>
      </c>
      <c r="C7" s="86" t="s">
        <v>130</v>
      </c>
      <c r="D7" s="87">
        <v>517</v>
      </c>
      <c r="E7" s="87">
        <v>172</v>
      </c>
      <c r="F7" s="87">
        <f t="shared" si="0"/>
        <v>345</v>
      </c>
      <c r="O7" s="108"/>
      <c r="P7" s="108"/>
      <c r="R7" s="108"/>
    </row>
    <row r="8" spans="1:18" x14ac:dyDescent="0.25">
      <c r="A8" s="85"/>
      <c r="B8" s="121" t="s">
        <v>22</v>
      </c>
      <c r="C8" s="86" t="s">
        <v>131</v>
      </c>
      <c r="D8" s="87">
        <v>7670.1</v>
      </c>
      <c r="E8" s="87">
        <v>681</v>
      </c>
      <c r="F8" s="87">
        <f t="shared" si="0"/>
        <v>6989.1</v>
      </c>
      <c r="O8" s="108"/>
      <c r="P8" s="108"/>
      <c r="R8" s="108"/>
    </row>
    <row r="9" spans="1:18" x14ac:dyDescent="0.25">
      <c r="A9" s="85"/>
      <c r="B9" s="121" t="s">
        <v>23</v>
      </c>
      <c r="C9" s="86" t="s">
        <v>132</v>
      </c>
      <c r="D9" s="87">
        <v>56</v>
      </c>
      <c r="E9" s="87">
        <v>32</v>
      </c>
      <c r="F9" s="87">
        <f t="shared" si="0"/>
        <v>24</v>
      </c>
      <c r="O9" s="108"/>
      <c r="P9" s="108"/>
      <c r="R9" s="108"/>
    </row>
    <row r="10" spans="1:18" x14ac:dyDescent="0.25">
      <c r="A10" s="85"/>
      <c r="B10" s="121" t="s">
        <v>26</v>
      </c>
      <c r="C10" s="86" t="s">
        <v>133</v>
      </c>
      <c r="D10" s="87">
        <v>715</v>
      </c>
      <c r="E10" s="87">
        <v>0</v>
      </c>
      <c r="F10" s="87">
        <f t="shared" si="0"/>
        <v>715</v>
      </c>
      <c r="O10" s="108"/>
      <c r="P10" s="108"/>
      <c r="R10" s="108"/>
    </row>
    <row r="11" spans="1:18" ht="15.75" thickBot="1" x14ac:dyDescent="0.3">
      <c r="A11" s="85"/>
      <c r="B11" s="121">
        <v>50413</v>
      </c>
      <c r="C11" s="86" t="s">
        <v>186</v>
      </c>
      <c r="D11" s="87">
        <v>0</v>
      </c>
      <c r="E11" s="87">
        <v>5763</v>
      </c>
      <c r="F11" s="87">
        <f t="shared" si="0"/>
        <v>-5763</v>
      </c>
      <c r="O11" s="108"/>
      <c r="P11" s="108"/>
      <c r="R11" s="108"/>
    </row>
    <row r="12" spans="1:18" x14ac:dyDescent="0.25">
      <c r="A12" s="183" t="s">
        <v>154</v>
      </c>
      <c r="B12" s="183"/>
      <c r="C12" s="183"/>
      <c r="D12" s="84">
        <f>SUM(D13:D15)</f>
        <v>147386.54</v>
      </c>
      <c r="E12" s="84">
        <f>SUM(E13:E15)</f>
        <v>194055</v>
      </c>
      <c r="F12" s="84">
        <f t="shared" si="0"/>
        <v>-46668.459999999992</v>
      </c>
      <c r="R12" s="108"/>
    </row>
    <row r="13" spans="1:18" x14ac:dyDescent="0.25">
      <c r="A13" s="85"/>
      <c r="B13" s="121" t="s">
        <v>15</v>
      </c>
      <c r="C13" s="106" t="s">
        <v>134</v>
      </c>
      <c r="D13" s="87">
        <v>102332.07</v>
      </c>
      <c r="E13" s="87">
        <v>146206.39999999999</v>
      </c>
      <c r="F13" s="87">
        <f t="shared" si="0"/>
        <v>-43874.329999999987</v>
      </c>
      <c r="O13" s="108"/>
      <c r="P13" s="108"/>
      <c r="R13" s="108"/>
    </row>
    <row r="14" spans="1:18" x14ac:dyDescent="0.25">
      <c r="A14" s="85"/>
      <c r="B14" s="121" t="s">
        <v>16</v>
      </c>
      <c r="C14" s="86" t="s">
        <v>135</v>
      </c>
      <c r="D14" s="87">
        <v>44515</v>
      </c>
      <c r="E14" s="87">
        <v>39825</v>
      </c>
      <c r="F14" s="87">
        <f t="shared" si="0"/>
        <v>4690</v>
      </c>
      <c r="O14" s="108"/>
      <c r="P14" s="108"/>
      <c r="R14" s="108"/>
    </row>
    <row r="15" spans="1:18" ht="15.75" thickBot="1" x14ac:dyDescent="0.3">
      <c r="A15" s="85"/>
      <c r="B15" s="121" t="s">
        <v>24</v>
      </c>
      <c r="C15" s="86" t="s">
        <v>136</v>
      </c>
      <c r="D15" s="87">
        <v>539.47</v>
      </c>
      <c r="E15" s="87">
        <v>8023.6</v>
      </c>
      <c r="F15" s="87">
        <f t="shared" si="0"/>
        <v>-7484.13</v>
      </c>
      <c r="O15" s="108"/>
      <c r="P15" s="108"/>
      <c r="R15" s="108"/>
    </row>
    <row r="16" spans="1:18" x14ac:dyDescent="0.25">
      <c r="A16" s="183" t="s">
        <v>155</v>
      </c>
      <c r="B16" s="183"/>
      <c r="C16" s="183"/>
      <c r="D16" s="84">
        <f>SUM(D17:D21)</f>
        <v>10924</v>
      </c>
      <c r="E16" s="84">
        <f>SUM(E17:E21)</f>
        <v>12264.64</v>
      </c>
      <c r="F16" s="84">
        <f t="shared" si="0"/>
        <v>-1340.6399999999994</v>
      </c>
      <c r="O16" s="108"/>
      <c r="P16" s="108"/>
      <c r="R16" s="108"/>
    </row>
    <row r="17" spans="1:18" x14ac:dyDescent="0.25">
      <c r="A17" s="85"/>
      <c r="B17" s="121" t="s">
        <v>17</v>
      </c>
      <c r="C17" s="86" t="s">
        <v>137</v>
      </c>
      <c r="D17" s="87">
        <v>9129</v>
      </c>
      <c r="E17" s="87">
        <f>7500+1300</f>
        <v>8800</v>
      </c>
      <c r="F17" s="87">
        <f t="shared" si="0"/>
        <v>329</v>
      </c>
      <c r="O17" s="108"/>
      <c r="P17" s="108"/>
      <c r="R17" s="108"/>
    </row>
    <row r="18" spans="1:18" x14ac:dyDescent="0.25">
      <c r="A18" s="85"/>
      <c r="B18" s="121" t="s">
        <v>24</v>
      </c>
      <c r="C18" s="86" t="s">
        <v>136</v>
      </c>
      <c r="D18" s="87">
        <v>400</v>
      </c>
      <c r="E18" s="87">
        <v>1473</v>
      </c>
      <c r="F18" s="87">
        <f t="shared" si="0"/>
        <v>-1073</v>
      </c>
      <c r="O18" s="108"/>
      <c r="P18" s="108"/>
      <c r="R18" s="108"/>
    </row>
    <row r="19" spans="1:18" x14ac:dyDescent="0.25">
      <c r="A19" s="85"/>
      <c r="B19" s="121" t="s">
        <v>30</v>
      </c>
      <c r="C19" s="86" t="s">
        <v>138</v>
      </c>
      <c r="D19" s="87">
        <v>750</v>
      </c>
      <c r="E19" s="87">
        <v>910</v>
      </c>
      <c r="F19" s="87">
        <f t="shared" si="0"/>
        <v>-160</v>
      </c>
      <c r="O19" s="108"/>
      <c r="P19" s="108"/>
      <c r="R19" s="108"/>
    </row>
    <row r="20" spans="1:18" x14ac:dyDescent="0.25">
      <c r="A20" s="85"/>
      <c r="B20" s="121" t="s">
        <v>31</v>
      </c>
      <c r="C20" s="86" t="s">
        <v>139</v>
      </c>
      <c r="D20" s="87">
        <v>645</v>
      </c>
      <c r="E20" s="87">
        <v>1057.6400000000001</v>
      </c>
      <c r="F20" s="87">
        <f t="shared" si="0"/>
        <v>-412.6400000000001</v>
      </c>
      <c r="O20" s="108"/>
      <c r="P20" s="108"/>
      <c r="R20" s="108"/>
    </row>
    <row r="21" spans="1:18" ht="15.75" thickBot="1" x14ac:dyDescent="0.3">
      <c r="A21" s="85"/>
      <c r="B21" s="121" t="s">
        <v>140</v>
      </c>
      <c r="C21" s="86" t="s">
        <v>141</v>
      </c>
      <c r="D21" s="87">
        <v>0</v>
      </c>
      <c r="E21" s="87">
        <v>24</v>
      </c>
      <c r="F21" s="87">
        <f t="shared" si="0"/>
        <v>-24</v>
      </c>
      <c r="O21" s="108"/>
      <c r="P21" s="108"/>
      <c r="R21" s="108"/>
    </row>
    <row r="22" spans="1:18" x14ac:dyDescent="0.25">
      <c r="A22" s="183" t="s">
        <v>156</v>
      </c>
      <c r="B22" s="183"/>
      <c r="C22" s="183"/>
      <c r="D22" s="84">
        <f>SUM(D23:D25)</f>
        <v>14084.63</v>
      </c>
      <c r="E22" s="84">
        <f>SUM(E23:E25)</f>
        <v>9700.77</v>
      </c>
      <c r="F22" s="84">
        <f t="shared" si="0"/>
        <v>4383.8599999999988</v>
      </c>
      <c r="O22" s="108"/>
      <c r="P22" s="108"/>
      <c r="R22" s="108"/>
    </row>
    <row r="23" spans="1:18" x14ac:dyDescent="0.25">
      <c r="A23" s="85"/>
      <c r="B23" s="121" t="s">
        <v>19</v>
      </c>
      <c r="C23" s="86" t="s">
        <v>142</v>
      </c>
      <c r="D23" s="87">
        <v>11631.05</v>
      </c>
      <c r="E23" s="87">
        <v>7951.29</v>
      </c>
      <c r="F23" s="87">
        <f t="shared" si="0"/>
        <v>3679.7599999999993</v>
      </c>
      <c r="O23" s="108"/>
      <c r="P23" s="108"/>
      <c r="R23" s="108"/>
    </row>
    <row r="24" spans="1:18" x14ac:dyDescent="0.25">
      <c r="A24" s="85"/>
      <c r="B24" s="121" t="s">
        <v>24</v>
      </c>
      <c r="C24" s="86" t="s">
        <v>136</v>
      </c>
      <c r="D24" s="87">
        <v>2453.58</v>
      </c>
      <c r="E24" s="87">
        <v>1469.48</v>
      </c>
      <c r="F24" s="87">
        <f t="shared" si="0"/>
        <v>984.09999999999991</v>
      </c>
      <c r="O24" s="108"/>
      <c r="P24" s="108"/>
      <c r="R24" s="108"/>
    </row>
    <row r="25" spans="1:18" ht="15.75" thickBot="1" x14ac:dyDescent="0.3">
      <c r="A25" s="85"/>
      <c r="B25" s="121" t="s">
        <v>143</v>
      </c>
      <c r="C25" s="4" t="s">
        <v>161</v>
      </c>
      <c r="D25" s="87">
        <v>0</v>
      </c>
      <c r="E25" s="87">
        <v>280</v>
      </c>
      <c r="F25" s="87">
        <f t="shared" si="0"/>
        <v>-280</v>
      </c>
      <c r="O25" s="108"/>
      <c r="P25" s="108"/>
      <c r="R25" s="108"/>
    </row>
    <row r="26" spans="1:18" x14ac:dyDescent="0.25">
      <c r="A26" s="183" t="s">
        <v>157</v>
      </c>
      <c r="B26" s="183"/>
      <c r="C26" s="183"/>
      <c r="D26" s="84">
        <f>SUM(D27:D35)</f>
        <v>115806.82</v>
      </c>
      <c r="E26" s="84">
        <f>SUM(E27:E35)</f>
        <v>47234.46</v>
      </c>
      <c r="F26" s="84">
        <f t="shared" si="0"/>
        <v>68572.360000000015</v>
      </c>
      <c r="O26" s="108"/>
      <c r="P26" s="108"/>
      <c r="R26" s="108"/>
    </row>
    <row r="27" spans="1:18" x14ac:dyDescent="0.25">
      <c r="A27" s="85"/>
      <c r="B27" s="121" t="s">
        <v>18</v>
      </c>
      <c r="C27" s="86" t="s">
        <v>144</v>
      </c>
      <c r="D27" s="87">
        <v>19513.400000000001</v>
      </c>
      <c r="E27" s="87">
        <v>7240.08</v>
      </c>
      <c r="F27" s="87">
        <f t="shared" si="0"/>
        <v>12273.320000000002</v>
      </c>
      <c r="O27" s="108"/>
      <c r="P27" s="108"/>
      <c r="R27" s="108"/>
    </row>
    <row r="28" spans="1:18" x14ac:dyDescent="0.25">
      <c r="A28" s="85"/>
      <c r="B28" s="121" t="s">
        <v>24</v>
      </c>
      <c r="C28" s="86" t="s">
        <v>136</v>
      </c>
      <c r="D28" s="87">
        <v>7153.93</v>
      </c>
      <c r="E28" s="87">
        <v>14680.3</v>
      </c>
      <c r="F28" s="87">
        <f t="shared" si="0"/>
        <v>-7526.369999999999</v>
      </c>
      <c r="O28" s="108"/>
      <c r="P28" s="108"/>
      <c r="R28" s="108"/>
    </row>
    <row r="29" spans="1:18" x14ac:dyDescent="0.25">
      <c r="A29" s="85"/>
      <c r="B29" s="121" t="s">
        <v>27</v>
      </c>
      <c r="C29" s="86" t="s">
        <v>145</v>
      </c>
      <c r="D29" s="87">
        <v>8113.57</v>
      </c>
      <c r="E29" s="87">
        <v>3763.18</v>
      </c>
      <c r="F29" s="87">
        <f t="shared" si="0"/>
        <v>4350.3899999999994</v>
      </c>
      <c r="O29" s="108"/>
      <c r="P29" s="108"/>
      <c r="R29" s="108"/>
    </row>
    <row r="30" spans="1:18" x14ac:dyDescent="0.25">
      <c r="A30" s="85"/>
      <c r="B30" s="121" t="s">
        <v>28</v>
      </c>
      <c r="C30" s="86" t="s">
        <v>146</v>
      </c>
      <c r="D30" s="87">
        <v>15640</v>
      </c>
      <c r="E30" s="87">
        <f>4721+60</f>
        <v>4781</v>
      </c>
      <c r="F30" s="87">
        <f t="shared" si="0"/>
        <v>10859</v>
      </c>
      <c r="O30" s="108"/>
      <c r="P30" s="108"/>
      <c r="R30" s="108"/>
    </row>
    <row r="31" spans="1:18" x14ac:dyDescent="0.25">
      <c r="A31" s="85"/>
      <c r="B31" s="121" t="s">
        <v>29</v>
      </c>
      <c r="C31" s="86" t="s">
        <v>147</v>
      </c>
      <c r="D31" s="87">
        <v>57576.9</v>
      </c>
      <c r="E31" s="87">
        <v>7536.6</v>
      </c>
      <c r="F31" s="87">
        <f t="shared" si="0"/>
        <v>50040.3</v>
      </c>
      <c r="O31" s="108"/>
      <c r="P31" s="108"/>
      <c r="R31" s="108"/>
    </row>
    <row r="32" spans="1:18" s="117" customFormat="1" x14ac:dyDescent="0.25">
      <c r="A32" s="85"/>
      <c r="B32" s="121">
        <v>50407</v>
      </c>
      <c r="C32" s="86" t="s">
        <v>141</v>
      </c>
      <c r="D32" s="87">
        <v>0</v>
      </c>
      <c r="E32" s="87">
        <v>360</v>
      </c>
      <c r="F32" s="87">
        <f t="shared" si="0"/>
        <v>-360</v>
      </c>
      <c r="O32" s="108"/>
      <c r="P32" s="108"/>
      <c r="R32" s="108"/>
    </row>
    <row r="33" spans="1:18" x14ac:dyDescent="0.25">
      <c r="A33" s="85"/>
      <c r="B33" s="121" t="s">
        <v>32</v>
      </c>
      <c r="C33" s="86" t="s">
        <v>148</v>
      </c>
      <c r="D33" s="87">
        <v>5922.02</v>
      </c>
      <c r="E33" s="87">
        <v>4367.3</v>
      </c>
      <c r="F33" s="87">
        <f t="shared" si="0"/>
        <v>1554.7200000000003</v>
      </c>
      <c r="O33" s="108"/>
      <c r="P33" s="108"/>
      <c r="R33" s="108"/>
    </row>
    <row r="34" spans="1:18" x14ac:dyDescent="0.25">
      <c r="A34" s="85"/>
      <c r="B34" s="122" t="s">
        <v>34</v>
      </c>
      <c r="C34" s="106" t="s">
        <v>149</v>
      </c>
      <c r="D34" s="116">
        <v>590</v>
      </c>
      <c r="E34" s="116">
        <v>490</v>
      </c>
      <c r="F34" s="116">
        <f t="shared" si="0"/>
        <v>100</v>
      </c>
      <c r="G34" s="108"/>
      <c r="H34" s="108"/>
      <c r="I34" s="108"/>
      <c r="J34" s="108"/>
      <c r="K34" s="108"/>
      <c r="L34" s="108"/>
      <c r="M34" s="108"/>
      <c r="N34" s="108"/>
      <c r="O34" s="108"/>
      <c r="Q34" s="108"/>
      <c r="R34" s="108"/>
    </row>
    <row r="35" spans="1:18" ht="15.75" thickBot="1" x14ac:dyDescent="0.3">
      <c r="A35" s="85"/>
      <c r="B35" s="122" t="s">
        <v>35</v>
      </c>
      <c r="C35" s="106" t="s">
        <v>150</v>
      </c>
      <c r="D35" s="116">
        <v>1297</v>
      </c>
      <c r="E35" s="116">
        <v>4016</v>
      </c>
      <c r="F35" s="116">
        <f t="shared" si="0"/>
        <v>-2719</v>
      </c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8" x14ac:dyDescent="0.25">
      <c r="A36" s="183" t="s">
        <v>158</v>
      </c>
      <c r="B36" s="183"/>
      <c r="C36" s="183"/>
      <c r="D36" s="84">
        <f>SUM(D37:D39)</f>
        <v>10031</v>
      </c>
      <c r="E36" s="84">
        <f>SUM(E37:E39)</f>
        <v>13516.2</v>
      </c>
      <c r="F36" s="84">
        <f t="shared" si="0"/>
        <v>-3485.2000000000007</v>
      </c>
    </row>
    <row r="37" spans="1:18" x14ac:dyDescent="0.25">
      <c r="A37" s="85"/>
      <c r="B37" s="121" t="s">
        <v>24</v>
      </c>
      <c r="C37" s="86" t="s">
        <v>136</v>
      </c>
      <c r="D37" s="87">
        <v>1347</v>
      </c>
      <c r="E37" s="87">
        <v>4555.2</v>
      </c>
      <c r="F37" s="87">
        <f t="shared" si="0"/>
        <v>-3208.2</v>
      </c>
    </row>
    <row r="38" spans="1:18" x14ac:dyDescent="0.25">
      <c r="A38" s="85"/>
      <c r="B38" s="121" t="s">
        <v>25</v>
      </c>
      <c r="C38" s="86" t="s">
        <v>151</v>
      </c>
      <c r="D38" s="87">
        <v>3075</v>
      </c>
      <c r="E38" s="87">
        <v>2745</v>
      </c>
      <c r="F38" s="87">
        <f t="shared" si="0"/>
        <v>330</v>
      </c>
    </row>
    <row r="39" spans="1:18" ht="15.75" thickBot="1" x14ac:dyDescent="0.3">
      <c r="A39" s="85"/>
      <c r="B39" s="121" t="s">
        <v>33</v>
      </c>
      <c r="C39" s="86" t="s">
        <v>152</v>
      </c>
      <c r="D39" s="87">
        <v>5609</v>
      </c>
      <c r="E39" s="87">
        <v>6216</v>
      </c>
      <c r="F39" s="87">
        <f t="shared" si="0"/>
        <v>-607</v>
      </c>
    </row>
    <row r="40" spans="1:18" x14ac:dyDescent="0.25">
      <c r="A40" s="183" t="s">
        <v>159</v>
      </c>
      <c r="B40" s="183"/>
      <c r="C40" s="183"/>
      <c r="D40" s="84">
        <f>SUM(D41)</f>
        <v>75.5</v>
      </c>
      <c r="E40" s="84">
        <f>SUM(E41)</f>
        <v>117.5</v>
      </c>
      <c r="F40" s="84">
        <f t="shared" si="0"/>
        <v>-42</v>
      </c>
    </row>
    <row r="41" spans="1:18" ht="15.75" thickBot="1" x14ac:dyDescent="0.3">
      <c r="A41" s="85"/>
      <c r="B41" s="121" t="s">
        <v>33</v>
      </c>
      <c r="C41" s="86" t="s">
        <v>152</v>
      </c>
      <c r="D41" s="87">
        <v>75.5</v>
      </c>
      <c r="E41" s="87">
        <v>117.5</v>
      </c>
      <c r="F41" s="87">
        <f t="shared" si="0"/>
        <v>-42</v>
      </c>
    </row>
    <row r="42" spans="1:18" x14ac:dyDescent="0.25">
      <c r="A42" s="183" t="s">
        <v>160</v>
      </c>
      <c r="B42" s="183"/>
      <c r="C42" s="183"/>
      <c r="D42" s="84">
        <f>SUM(D43)</f>
        <v>30653</v>
      </c>
      <c r="E42" s="84">
        <f>SUM(E43)</f>
        <v>24662</v>
      </c>
      <c r="F42" s="84">
        <f t="shared" si="0"/>
        <v>5991</v>
      </c>
    </row>
    <row r="43" spans="1:18" x14ac:dyDescent="0.25">
      <c r="A43" s="85"/>
      <c r="B43" s="121" t="s">
        <v>33</v>
      </c>
      <c r="C43" s="86" t="s">
        <v>152</v>
      </c>
      <c r="D43" s="87">
        <v>30653</v>
      </c>
      <c r="E43" s="87">
        <v>24662</v>
      </c>
      <c r="F43" s="87">
        <f t="shared" si="0"/>
        <v>5991</v>
      </c>
    </row>
    <row r="44" spans="1:18" s="90" customFormat="1" ht="30" customHeight="1" x14ac:dyDescent="0.25">
      <c r="A44" s="184" t="s">
        <v>162</v>
      </c>
      <c r="B44" s="184"/>
      <c r="C44" s="184"/>
      <c r="D44" s="88">
        <f>D4+D12+D16+D22+D26+D36+D40+D42</f>
        <v>347548.59</v>
      </c>
      <c r="E44" s="88">
        <f>E4+E12+E16+E22+E26+E36+E40+E42</f>
        <v>315898.57</v>
      </c>
      <c r="F44" s="89">
        <f>D44-E44</f>
        <v>31650.020000000019</v>
      </c>
    </row>
    <row r="45" spans="1:18" x14ac:dyDescent="0.25">
      <c r="D45" s="123"/>
    </row>
  </sheetData>
  <mergeCells count="10">
    <mergeCell ref="A44:C44"/>
    <mergeCell ref="A42:C42"/>
    <mergeCell ref="A40:C40"/>
    <mergeCell ref="A36:C36"/>
    <mergeCell ref="A26:C26"/>
    <mergeCell ref="A22:C22"/>
    <mergeCell ref="A16:C16"/>
    <mergeCell ref="A12:C12"/>
    <mergeCell ref="A4:C4"/>
    <mergeCell ref="A1:F1"/>
  </mergeCells>
  <phoneticPr fontId="6" type="noConversion"/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CAE7-AF67-48E8-84C0-74774BC040E0}">
  <sheetPr>
    <pageSetUpPr fitToPage="1"/>
  </sheetPr>
  <dimension ref="A1:R51"/>
  <sheetViews>
    <sheetView tabSelected="1" topLeftCell="A20" workbookViewId="0">
      <selection activeCell="B25" sqref="B25"/>
    </sheetView>
  </sheetViews>
  <sheetFormatPr defaultRowHeight="15" x14ac:dyDescent="0.25"/>
  <cols>
    <col min="1" max="1" width="3.5703125" style="4" bestFit="1" customWidth="1"/>
    <col min="2" max="2" width="45.7109375" style="4" bestFit="1" customWidth="1"/>
    <col min="3" max="3" width="5.42578125" style="4" bestFit="1" customWidth="1"/>
    <col min="4" max="8" width="13.7109375" style="4" customWidth="1"/>
    <col min="9" max="9" width="16.7109375" style="4" customWidth="1"/>
    <col min="10" max="10" width="9.140625" style="4"/>
    <col min="11" max="12" width="16.7109375" style="4" customWidth="1"/>
    <col min="13" max="16384" width="9.140625" style="4"/>
  </cols>
  <sheetData>
    <row r="1" spans="1:18" ht="18.75" x14ac:dyDescent="0.25">
      <c r="A1" s="180" t="s">
        <v>202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8" x14ac:dyDescent="0.25">
      <c r="A2" s="80"/>
      <c r="B2" s="3"/>
      <c r="C2" s="3"/>
      <c r="D2" s="3"/>
      <c r="E2" s="3"/>
      <c r="F2" s="3"/>
      <c r="G2" s="3"/>
      <c r="H2" s="3"/>
      <c r="I2" s="3"/>
      <c r="J2" s="3"/>
    </row>
    <row r="3" spans="1:18" ht="45" x14ac:dyDescent="0.25">
      <c r="A3" s="72" t="s">
        <v>36</v>
      </c>
      <c r="B3" s="73" t="s">
        <v>6</v>
      </c>
      <c r="C3" s="63" t="s">
        <v>38</v>
      </c>
      <c r="D3" s="74" t="s">
        <v>39</v>
      </c>
      <c r="E3" s="74" t="s">
        <v>40</v>
      </c>
      <c r="F3" s="74" t="s">
        <v>41</v>
      </c>
      <c r="G3" s="74" t="s">
        <v>42</v>
      </c>
      <c r="H3" s="74" t="s">
        <v>43</v>
      </c>
      <c r="I3" s="50" t="s">
        <v>44</v>
      </c>
      <c r="J3" s="74" t="s">
        <v>45</v>
      </c>
    </row>
    <row r="4" spans="1:18" x14ac:dyDescent="0.25">
      <c r="A4" s="163">
        <v>1</v>
      </c>
      <c r="B4" s="75" t="s">
        <v>46</v>
      </c>
      <c r="C4" s="76">
        <v>27</v>
      </c>
      <c r="D4" s="52">
        <v>300278</v>
      </c>
      <c r="E4" s="52">
        <v>30000</v>
      </c>
      <c r="F4" s="52">
        <v>0</v>
      </c>
      <c r="G4" s="52">
        <v>140000</v>
      </c>
      <c r="H4" s="52">
        <v>0</v>
      </c>
      <c r="I4" s="141">
        <f t="shared" ref="I4:I22" si="0">SUM(D4:H4)</f>
        <v>470278</v>
      </c>
      <c r="J4" s="53">
        <f t="shared" ref="J4:J22" si="1">IFERROR(I4/$I$23,"")</f>
        <v>3.5096020053503971E-2</v>
      </c>
      <c r="O4" s="108"/>
      <c r="P4" s="108"/>
      <c r="R4" s="108"/>
    </row>
    <row r="5" spans="1:18" x14ac:dyDescent="0.25">
      <c r="A5" s="163">
        <v>2</v>
      </c>
      <c r="B5" s="75" t="s">
        <v>7</v>
      </c>
      <c r="C5" s="76">
        <v>24</v>
      </c>
      <c r="D5" s="52">
        <v>211725</v>
      </c>
      <c r="E5" s="52">
        <v>95000</v>
      </c>
      <c r="F5" s="52">
        <v>25000</v>
      </c>
      <c r="G5" s="52">
        <v>0</v>
      </c>
      <c r="H5" s="52">
        <v>124000</v>
      </c>
      <c r="I5" s="141">
        <f t="shared" si="0"/>
        <v>455725</v>
      </c>
      <c r="J5" s="53">
        <f t="shared" si="1"/>
        <v>3.4009955258130505E-2</v>
      </c>
      <c r="O5" s="108"/>
      <c r="P5" s="108"/>
      <c r="R5" s="108"/>
    </row>
    <row r="6" spans="1:18" x14ac:dyDescent="0.25">
      <c r="A6" s="163">
        <v>3</v>
      </c>
      <c r="B6" s="75" t="s">
        <v>47</v>
      </c>
      <c r="C6" s="76">
        <v>1</v>
      </c>
      <c r="D6" s="52">
        <v>12189</v>
      </c>
      <c r="E6" s="52">
        <v>5000</v>
      </c>
      <c r="F6" s="52">
        <v>0</v>
      </c>
      <c r="G6" s="52">
        <v>0</v>
      </c>
      <c r="H6" s="52">
        <v>0</v>
      </c>
      <c r="I6" s="141">
        <f t="shared" si="0"/>
        <v>17189</v>
      </c>
      <c r="J6" s="53">
        <f t="shared" si="1"/>
        <v>1.2827848393921887E-3</v>
      </c>
      <c r="O6" s="108"/>
      <c r="P6" s="108"/>
      <c r="R6" s="108"/>
    </row>
    <row r="7" spans="1:18" x14ac:dyDescent="0.25">
      <c r="A7" s="163">
        <v>4</v>
      </c>
      <c r="B7" s="75" t="s">
        <v>48</v>
      </c>
      <c r="C7" s="76">
        <v>21</v>
      </c>
      <c r="D7" s="52">
        <v>220454</v>
      </c>
      <c r="E7" s="52">
        <v>15000</v>
      </c>
      <c r="F7" s="52">
        <v>0</v>
      </c>
      <c r="G7" s="52">
        <v>0</v>
      </c>
      <c r="H7" s="52">
        <v>0</v>
      </c>
      <c r="I7" s="141">
        <f t="shared" si="0"/>
        <v>235454</v>
      </c>
      <c r="J7" s="53">
        <f t="shared" si="1"/>
        <v>1.7571517922755742E-2</v>
      </c>
      <c r="O7" s="108"/>
      <c r="P7" s="108"/>
      <c r="R7" s="108"/>
    </row>
    <row r="8" spans="1:18" x14ac:dyDescent="0.25">
      <c r="A8" s="163">
        <v>5</v>
      </c>
      <c r="B8" s="75" t="s">
        <v>8</v>
      </c>
      <c r="C8" s="76">
        <v>11</v>
      </c>
      <c r="D8" s="52">
        <v>114233</v>
      </c>
      <c r="E8" s="52">
        <v>15000</v>
      </c>
      <c r="F8" s="52">
        <v>0</v>
      </c>
      <c r="H8" s="52">
        <v>150000</v>
      </c>
      <c r="I8" s="141">
        <f>SUM(D8:H8)</f>
        <v>279233</v>
      </c>
      <c r="J8" s="53">
        <f t="shared" si="1"/>
        <v>2.0838667697829952E-2</v>
      </c>
      <c r="O8" s="108"/>
      <c r="P8" s="108"/>
      <c r="R8" s="108"/>
    </row>
    <row r="9" spans="1:18" x14ac:dyDescent="0.25">
      <c r="A9" s="163">
        <v>6</v>
      </c>
      <c r="B9" s="75" t="s">
        <v>9</v>
      </c>
      <c r="C9" s="76">
        <v>10</v>
      </c>
      <c r="D9" s="52">
        <v>94444</v>
      </c>
      <c r="E9" s="52">
        <v>370000</v>
      </c>
      <c r="F9" s="52">
        <v>88000</v>
      </c>
      <c r="G9" s="52">
        <v>60000</v>
      </c>
      <c r="H9" s="52">
        <v>666311</v>
      </c>
      <c r="I9" s="141">
        <f t="shared" si="0"/>
        <v>1278755</v>
      </c>
      <c r="J9" s="53">
        <f t="shared" si="1"/>
        <v>9.5431236680258213E-2</v>
      </c>
      <c r="O9" s="108"/>
      <c r="P9" s="108"/>
      <c r="R9" s="108"/>
    </row>
    <row r="10" spans="1:18" x14ac:dyDescent="0.25">
      <c r="A10" s="163">
        <v>7</v>
      </c>
      <c r="B10" s="75" t="s">
        <v>49</v>
      </c>
      <c r="C10" s="76">
        <v>18</v>
      </c>
      <c r="D10" s="52">
        <v>175494</v>
      </c>
      <c r="E10" s="52">
        <v>10000</v>
      </c>
      <c r="F10" s="52">
        <v>2000</v>
      </c>
      <c r="G10" s="52">
        <v>0</v>
      </c>
      <c r="H10" s="52">
        <v>0</v>
      </c>
      <c r="I10" s="141">
        <f t="shared" si="0"/>
        <v>187494</v>
      </c>
      <c r="J10" s="53">
        <f t="shared" si="1"/>
        <v>1.3992347470882486E-2</v>
      </c>
      <c r="O10" s="108"/>
      <c r="P10" s="108"/>
      <c r="R10" s="108"/>
    </row>
    <row r="11" spans="1:18" x14ac:dyDescent="0.25">
      <c r="A11" s="163">
        <v>8</v>
      </c>
      <c r="B11" s="75" t="s">
        <v>50</v>
      </c>
      <c r="C11" s="76">
        <v>1</v>
      </c>
      <c r="D11" s="52">
        <v>12190</v>
      </c>
      <c r="E11" s="52">
        <v>2000</v>
      </c>
      <c r="F11" s="52">
        <v>0</v>
      </c>
      <c r="G11" s="52">
        <v>0</v>
      </c>
      <c r="H11" s="52">
        <v>0</v>
      </c>
      <c r="I11" s="141">
        <f t="shared" si="0"/>
        <v>14190</v>
      </c>
      <c r="J11" s="53">
        <f t="shared" si="1"/>
        <v>1.0589747437881878E-3</v>
      </c>
      <c r="O11" s="108"/>
      <c r="P11" s="108"/>
      <c r="R11" s="108"/>
    </row>
    <row r="12" spans="1:18" x14ac:dyDescent="0.25">
      <c r="A12" s="163">
        <v>9</v>
      </c>
      <c r="B12" s="75" t="s">
        <v>10</v>
      </c>
      <c r="C12" s="76">
        <v>4</v>
      </c>
      <c r="D12" s="52">
        <v>44906</v>
      </c>
      <c r="E12" s="52">
        <v>10000</v>
      </c>
      <c r="F12" s="52">
        <v>0</v>
      </c>
      <c r="G12" s="52">
        <v>120000</v>
      </c>
      <c r="H12" s="52">
        <v>80000</v>
      </c>
      <c r="I12" s="141">
        <f t="shared" si="0"/>
        <v>254906</v>
      </c>
      <c r="J12" s="53">
        <f t="shared" si="1"/>
        <v>1.9023186472168555E-2</v>
      </c>
      <c r="R12" s="108"/>
    </row>
    <row r="13" spans="1:18" x14ac:dyDescent="0.25">
      <c r="A13" s="163">
        <v>10</v>
      </c>
      <c r="B13" s="75" t="s">
        <v>51</v>
      </c>
      <c r="C13" s="109">
        <v>3</v>
      </c>
      <c r="D13" s="52">
        <v>29942</v>
      </c>
      <c r="E13" s="52">
        <v>10000</v>
      </c>
      <c r="F13" s="52">
        <v>0</v>
      </c>
      <c r="G13" s="52">
        <v>50000</v>
      </c>
      <c r="H13" s="52">
        <v>105000</v>
      </c>
      <c r="I13" s="141">
        <f t="shared" si="0"/>
        <v>194942</v>
      </c>
      <c r="J13" s="53">
        <f t="shared" si="1"/>
        <v>1.4548178611949042E-2</v>
      </c>
      <c r="O13" s="108"/>
      <c r="P13" s="108"/>
      <c r="R13" s="108"/>
    </row>
    <row r="14" spans="1:18" x14ac:dyDescent="0.25">
      <c r="A14" s="163">
        <v>11</v>
      </c>
      <c r="B14" s="75" t="s">
        <v>11</v>
      </c>
      <c r="C14" s="76">
        <v>13</v>
      </c>
      <c r="D14" s="52">
        <v>138559</v>
      </c>
      <c r="E14" s="52">
        <v>80000</v>
      </c>
      <c r="F14" s="52">
        <v>0</v>
      </c>
      <c r="G14" s="52">
        <v>0</v>
      </c>
      <c r="H14" s="52">
        <v>912000</v>
      </c>
      <c r="I14" s="141">
        <f t="shared" si="0"/>
        <v>1130559</v>
      </c>
      <c r="J14" s="53">
        <f t="shared" si="1"/>
        <v>8.437162983526636E-2</v>
      </c>
      <c r="O14" s="108"/>
      <c r="P14" s="108"/>
      <c r="R14" s="108"/>
    </row>
    <row r="15" spans="1:18" x14ac:dyDescent="0.25">
      <c r="A15" s="163">
        <v>12</v>
      </c>
      <c r="B15" s="75" t="s">
        <v>52</v>
      </c>
      <c r="C15" s="76">
        <v>3</v>
      </c>
      <c r="D15" s="52">
        <v>34133</v>
      </c>
      <c r="E15" s="52">
        <v>3000</v>
      </c>
      <c r="F15" s="52">
        <v>0</v>
      </c>
      <c r="G15" s="52">
        <v>0</v>
      </c>
      <c r="H15" s="52">
        <v>0</v>
      </c>
      <c r="I15" s="141">
        <f t="shared" si="0"/>
        <v>37133</v>
      </c>
      <c r="J15" s="53">
        <f t="shared" si="1"/>
        <v>2.7711704835156289E-3</v>
      </c>
      <c r="O15" s="108"/>
      <c r="P15" s="108"/>
      <c r="R15" s="108"/>
    </row>
    <row r="16" spans="1:18" x14ac:dyDescent="0.25">
      <c r="A16" s="163">
        <v>13</v>
      </c>
      <c r="B16" s="75" t="s">
        <v>12</v>
      </c>
      <c r="C16" s="76">
        <v>123</v>
      </c>
      <c r="D16" s="52">
        <v>1230831</v>
      </c>
      <c r="E16" s="52">
        <v>305678</v>
      </c>
      <c r="F16" s="52">
        <v>30000</v>
      </c>
      <c r="G16" s="52">
        <v>0</v>
      </c>
      <c r="H16" s="52">
        <v>150000</v>
      </c>
      <c r="I16" s="141">
        <f t="shared" si="0"/>
        <v>1716509</v>
      </c>
      <c r="J16" s="53">
        <f t="shared" si="1"/>
        <v>0.12810004781431419</v>
      </c>
      <c r="O16" s="108"/>
      <c r="P16" s="108"/>
      <c r="R16" s="108"/>
    </row>
    <row r="17" spans="1:18" x14ac:dyDescent="0.25">
      <c r="A17" s="163">
        <v>14</v>
      </c>
      <c r="B17" s="75" t="s">
        <v>53</v>
      </c>
      <c r="C17" s="76">
        <v>8</v>
      </c>
      <c r="D17" s="52">
        <v>74658</v>
      </c>
      <c r="E17" s="52">
        <v>7000</v>
      </c>
      <c r="F17" s="52">
        <v>5000</v>
      </c>
      <c r="G17" s="52">
        <v>10000</v>
      </c>
      <c r="H17" s="52">
        <v>150000</v>
      </c>
      <c r="I17" s="141">
        <f t="shared" si="0"/>
        <v>246658</v>
      </c>
      <c r="J17" s="53">
        <f t="shared" si="1"/>
        <v>1.8407652738076589E-2</v>
      </c>
      <c r="O17" s="108"/>
      <c r="P17" s="108"/>
      <c r="R17" s="108"/>
    </row>
    <row r="18" spans="1:18" x14ac:dyDescent="0.25">
      <c r="A18" s="163">
        <v>15</v>
      </c>
      <c r="B18" s="75" t="s">
        <v>54</v>
      </c>
      <c r="C18" s="76">
        <v>18</v>
      </c>
      <c r="D18" s="52">
        <v>156482</v>
      </c>
      <c r="E18" s="52">
        <v>90000</v>
      </c>
      <c r="F18" s="52">
        <v>25000</v>
      </c>
      <c r="G18" s="52">
        <v>110000</v>
      </c>
      <c r="H18" s="52">
        <v>300000</v>
      </c>
      <c r="I18" s="141">
        <f t="shared" si="0"/>
        <v>681482</v>
      </c>
      <c r="J18" s="53">
        <f t="shared" si="1"/>
        <v>5.0857803125177008E-2</v>
      </c>
      <c r="O18" s="108"/>
      <c r="P18" s="108"/>
      <c r="R18" s="108"/>
    </row>
    <row r="19" spans="1:18" x14ac:dyDescent="0.25">
      <c r="A19" s="163">
        <v>16</v>
      </c>
      <c r="B19" s="75" t="s">
        <v>55</v>
      </c>
      <c r="C19" s="76">
        <v>7</v>
      </c>
      <c r="D19" s="52">
        <v>77617</v>
      </c>
      <c r="E19" s="52">
        <v>3000</v>
      </c>
      <c r="F19" s="52">
        <v>0</v>
      </c>
      <c r="G19" s="52">
        <v>25000</v>
      </c>
      <c r="H19" s="52">
        <v>0</v>
      </c>
      <c r="I19" s="141">
        <f t="shared" si="0"/>
        <v>105617</v>
      </c>
      <c r="J19" s="53">
        <f t="shared" si="1"/>
        <v>7.8820109594557458E-3</v>
      </c>
      <c r="O19" s="108"/>
      <c r="P19" s="108"/>
      <c r="R19" s="108"/>
    </row>
    <row r="20" spans="1:18" x14ac:dyDescent="0.25">
      <c r="A20" s="163">
        <v>17</v>
      </c>
      <c r="B20" s="75" t="s">
        <v>13</v>
      </c>
      <c r="C20" s="76">
        <v>27</v>
      </c>
      <c r="D20" s="52">
        <v>188175</v>
      </c>
      <c r="E20" s="52">
        <v>50000</v>
      </c>
      <c r="F20" s="52">
        <v>15000</v>
      </c>
      <c r="G20" s="52">
        <v>0</v>
      </c>
      <c r="H20" s="52">
        <v>0</v>
      </c>
      <c r="I20" s="141">
        <f t="shared" si="0"/>
        <v>253175</v>
      </c>
      <c r="J20" s="53">
        <f t="shared" si="1"/>
        <v>1.8894004986509828E-2</v>
      </c>
      <c r="O20" s="108"/>
      <c r="P20" s="108"/>
      <c r="R20" s="108"/>
    </row>
    <row r="21" spans="1:18" x14ac:dyDescent="0.25">
      <c r="A21" s="163">
        <v>18</v>
      </c>
      <c r="B21" s="75" t="s">
        <v>56</v>
      </c>
      <c r="C21" s="76">
        <v>404</v>
      </c>
      <c r="D21" s="52">
        <v>3836686</v>
      </c>
      <c r="E21" s="52">
        <v>297000</v>
      </c>
      <c r="F21" s="52">
        <v>27000</v>
      </c>
      <c r="G21" s="52">
        <v>40000</v>
      </c>
      <c r="H21" s="52">
        <v>530000</v>
      </c>
      <c r="I21" s="141">
        <f t="shared" si="0"/>
        <v>4730686</v>
      </c>
      <c r="J21" s="53">
        <f t="shared" si="1"/>
        <v>0.35304277623624852</v>
      </c>
      <c r="O21" s="108"/>
      <c r="P21" s="108"/>
      <c r="R21" s="108"/>
    </row>
    <row r="22" spans="1:18" x14ac:dyDescent="0.25">
      <c r="A22" s="163">
        <v>19</v>
      </c>
      <c r="B22" s="75" t="s">
        <v>57</v>
      </c>
      <c r="C22" s="76">
        <v>100</v>
      </c>
      <c r="D22" s="52">
        <v>930309</v>
      </c>
      <c r="E22" s="52">
        <v>72302</v>
      </c>
      <c r="F22" s="52">
        <v>8000</v>
      </c>
      <c r="G22" s="52">
        <v>59157</v>
      </c>
      <c r="H22" s="52">
        <v>40000</v>
      </c>
      <c r="I22" s="141">
        <f t="shared" si="0"/>
        <v>1109768</v>
      </c>
      <c r="J22" s="53">
        <f t="shared" si="1"/>
        <v>8.2820034070777274E-2</v>
      </c>
      <c r="O22" s="108"/>
      <c r="P22" s="108"/>
      <c r="R22" s="108"/>
    </row>
    <row r="23" spans="1:18" x14ac:dyDescent="0.25">
      <c r="A23" s="77"/>
      <c r="B23" s="78" t="s">
        <v>5</v>
      </c>
      <c r="C23" s="79">
        <f t="shared" ref="C23:I23" si="2">SUM(C4:C22)</f>
        <v>823</v>
      </c>
      <c r="D23" s="58">
        <f t="shared" si="2"/>
        <v>7883305</v>
      </c>
      <c r="E23" s="58">
        <f t="shared" si="2"/>
        <v>1469980</v>
      </c>
      <c r="F23" s="58">
        <f t="shared" si="2"/>
        <v>225000</v>
      </c>
      <c r="G23" s="58">
        <f t="shared" si="2"/>
        <v>614157</v>
      </c>
      <c r="H23" s="58">
        <f t="shared" si="2"/>
        <v>3207311</v>
      </c>
      <c r="I23" s="142">
        <f t="shared" si="2"/>
        <v>13399753</v>
      </c>
      <c r="J23" s="59">
        <v>1</v>
      </c>
      <c r="O23" s="108"/>
      <c r="P23" s="108"/>
      <c r="R23" s="108"/>
    </row>
    <row r="24" spans="1:18" x14ac:dyDescent="0.25">
      <c r="B24" s="186" t="s">
        <v>59</v>
      </c>
      <c r="C24" s="187"/>
      <c r="D24" s="53">
        <f>IFERROR(D23/$I$23,"")</f>
        <v>0.58831718763771246</v>
      </c>
      <c r="E24" s="53">
        <f t="shared" ref="E24:I24" si="3">IFERROR(E23/$I$23,"")</f>
        <v>0.10970202211936295</v>
      </c>
      <c r="F24" s="53">
        <f t="shared" si="3"/>
        <v>1.6791354288396211E-2</v>
      </c>
      <c r="G24" s="53">
        <f t="shared" si="3"/>
        <v>4.5833456780882451E-2</v>
      </c>
      <c r="H24" s="53">
        <f t="shared" si="3"/>
        <v>0.23935597917364596</v>
      </c>
      <c r="I24" s="143">
        <f t="shared" si="3"/>
        <v>1</v>
      </c>
      <c r="J24" s="62"/>
      <c r="O24" s="108"/>
      <c r="P24" s="108"/>
      <c r="R24" s="108"/>
    </row>
    <row r="25" spans="1:18" x14ac:dyDescent="0.25">
      <c r="O25" s="108"/>
      <c r="P25" s="108"/>
      <c r="R25" s="108"/>
    </row>
    <row r="26" spans="1:18" x14ac:dyDescent="0.25">
      <c r="O26" s="108"/>
      <c r="P26" s="108"/>
      <c r="R26" s="108"/>
    </row>
    <row r="27" spans="1:18" x14ac:dyDescent="0.25">
      <c r="O27" s="108"/>
      <c r="P27" s="108"/>
      <c r="R27" s="108"/>
    </row>
    <row r="28" spans="1:18" ht="18.75" x14ac:dyDescent="0.25">
      <c r="A28" s="180" t="s">
        <v>304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O28" s="108"/>
      <c r="P28" s="108"/>
      <c r="R28" s="108"/>
    </row>
    <row r="29" spans="1:18" x14ac:dyDescent="0.25">
      <c r="A29" s="35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O29" s="108"/>
      <c r="P29" s="108"/>
      <c r="R29" s="108"/>
    </row>
    <row r="30" spans="1:18" ht="45" x14ac:dyDescent="0.25">
      <c r="A30" s="72" t="s">
        <v>36</v>
      </c>
      <c r="B30" s="73" t="s">
        <v>6</v>
      </c>
      <c r="C30" s="63" t="s">
        <v>38</v>
      </c>
      <c r="D30" s="74" t="s">
        <v>39</v>
      </c>
      <c r="E30" s="74" t="s">
        <v>40</v>
      </c>
      <c r="F30" s="74" t="s">
        <v>41</v>
      </c>
      <c r="G30" s="74" t="s">
        <v>42</v>
      </c>
      <c r="H30" s="74" t="s">
        <v>43</v>
      </c>
      <c r="I30" s="50" t="s">
        <v>294</v>
      </c>
      <c r="J30" s="48" t="s">
        <v>45</v>
      </c>
      <c r="K30" s="50" t="s">
        <v>292</v>
      </c>
      <c r="L30" s="50" t="s">
        <v>293</v>
      </c>
      <c r="O30" s="108"/>
      <c r="P30" s="108"/>
      <c r="R30" s="108"/>
    </row>
    <row r="31" spans="1:18" x14ac:dyDescent="0.25">
      <c r="A31" s="163">
        <v>1</v>
      </c>
      <c r="B31" s="75" t="s">
        <v>46</v>
      </c>
      <c r="C31" s="76">
        <v>27</v>
      </c>
      <c r="D31" s="52">
        <v>166330.09</v>
      </c>
      <c r="E31" s="52">
        <v>17806.400000000001</v>
      </c>
      <c r="F31" s="52">
        <v>0</v>
      </c>
      <c r="G31" s="52">
        <v>45100</v>
      </c>
      <c r="H31" s="52">
        <v>0</v>
      </c>
      <c r="I31" s="141">
        <f t="shared" ref="I31:I49" si="4">SUM(D31:H31)</f>
        <v>229236.49</v>
      </c>
      <c r="J31" s="53">
        <f>IFERROR(I31/$I$50,"")</f>
        <v>3.528161141768351E-2</v>
      </c>
      <c r="K31" s="52">
        <v>164967.29999999999</v>
      </c>
      <c r="L31" s="52">
        <f>I31-K31</f>
        <v>64269.19</v>
      </c>
      <c r="O31" s="108"/>
      <c r="P31" s="108"/>
      <c r="R31" s="108"/>
    </row>
    <row r="32" spans="1:18" x14ac:dyDescent="0.25">
      <c r="A32" s="163">
        <v>2</v>
      </c>
      <c r="B32" s="75" t="s">
        <v>7</v>
      </c>
      <c r="C32" s="76">
        <v>24</v>
      </c>
      <c r="D32" s="52">
        <v>117841.68</v>
      </c>
      <c r="E32" s="52">
        <v>58620.79</v>
      </c>
      <c r="F32" s="52">
        <v>20232.62</v>
      </c>
      <c r="G32" s="52">
        <v>0</v>
      </c>
      <c r="H32" s="52">
        <v>117806.5</v>
      </c>
      <c r="I32" s="141">
        <f t="shared" si="4"/>
        <v>314501.58999999997</v>
      </c>
      <c r="J32" s="53">
        <f t="shared" ref="J32:J49" si="5">IFERROR(I32/$I$50,"")</f>
        <v>4.8404697213011841E-2</v>
      </c>
      <c r="K32" s="52">
        <v>192484.64</v>
      </c>
      <c r="L32" s="52">
        <f t="shared" ref="L32:L49" si="6">I32-K32</f>
        <v>122016.94999999995</v>
      </c>
      <c r="O32" s="108"/>
      <c r="P32" s="108"/>
      <c r="R32" s="108"/>
    </row>
    <row r="33" spans="1:18" x14ac:dyDescent="0.25">
      <c r="A33" s="163">
        <v>3</v>
      </c>
      <c r="B33" s="75" t="s">
        <v>47</v>
      </c>
      <c r="C33" s="76">
        <v>1</v>
      </c>
      <c r="D33" s="52">
        <v>7329.46</v>
      </c>
      <c r="E33" s="52">
        <v>0</v>
      </c>
      <c r="F33" s="52">
        <v>0</v>
      </c>
      <c r="G33" s="52">
        <v>0</v>
      </c>
      <c r="H33" s="52">
        <v>0</v>
      </c>
      <c r="I33" s="141">
        <f t="shared" si="4"/>
        <v>7329.46</v>
      </c>
      <c r="J33" s="53">
        <f t="shared" si="5"/>
        <v>1.1280715370465433E-3</v>
      </c>
      <c r="K33" s="52">
        <v>5764.62</v>
      </c>
      <c r="L33" s="52">
        <f t="shared" si="6"/>
        <v>1564.8400000000001</v>
      </c>
      <c r="M33" s="108"/>
      <c r="N33" s="108"/>
      <c r="O33" s="108"/>
      <c r="Q33" s="108"/>
      <c r="R33" s="108"/>
    </row>
    <row r="34" spans="1:18" x14ac:dyDescent="0.25">
      <c r="A34" s="163">
        <v>4</v>
      </c>
      <c r="B34" s="75" t="s">
        <v>48</v>
      </c>
      <c r="C34" s="76">
        <v>21</v>
      </c>
      <c r="D34" s="52">
        <v>127175.44</v>
      </c>
      <c r="E34" s="52">
        <v>1543.3</v>
      </c>
      <c r="F34" s="52">
        <v>0</v>
      </c>
      <c r="G34" s="52">
        <v>0</v>
      </c>
      <c r="H34" s="52">
        <v>0</v>
      </c>
      <c r="I34" s="141">
        <f t="shared" si="4"/>
        <v>128718.74</v>
      </c>
      <c r="J34" s="53">
        <f t="shared" si="5"/>
        <v>1.9811002021771645E-2</v>
      </c>
      <c r="K34" s="52">
        <v>123250.16</v>
      </c>
      <c r="L34" s="52">
        <f t="shared" si="6"/>
        <v>5468.5800000000017</v>
      </c>
      <c r="M34" s="108"/>
      <c r="N34" s="108"/>
      <c r="O34" s="108"/>
    </row>
    <row r="35" spans="1:18" x14ac:dyDescent="0.25">
      <c r="A35" s="163">
        <v>5</v>
      </c>
      <c r="B35" s="75" t="s">
        <v>8</v>
      </c>
      <c r="C35" s="76">
        <v>11</v>
      </c>
      <c r="D35" s="52">
        <v>52930.61</v>
      </c>
      <c r="E35" s="52">
        <v>843.5</v>
      </c>
      <c r="F35" s="52">
        <v>0</v>
      </c>
      <c r="G35" s="52">
        <v>0</v>
      </c>
      <c r="H35" s="52">
        <v>27706.3</v>
      </c>
      <c r="I35" s="141">
        <f t="shared" si="4"/>
        <v>81480.41</v>
      </c>
      <c r="J35" s="53">
        <f t="shared" si="5"/>
        <v>1.2540587075703059E-2</v>
      </c>
      <c r="K35" s="52">
        <v>178372</v>
      </c>
      <c r="L35" s="52">
        <f t="shared" si="6"/>
        <v>-96891.59</v>
      </c>
    </row>
    <row r="36" spans="1:18" x14ac:dyDescent="0.25">
      <c r="A36" s="163">
        <v>6</v>
      </c>
      <c r="B36" s="75" t="s">
        <v>9</v>
      </c>
      <c r="C36" s="76">
        <v>10</v>
      </c>
      <c r="D36" s="52">
        <v>40148.07</v>
      </c>
      <c r="E36" s="52">
        <v>220412.35</v>
      </c>
      <c r="F36" s="52">
        <v>41324.07</v>
      </c>
      <c r="G36" s="52">
        <v>27525</v>
      </c>
      <c r="H36" s="52">
        <v>202942.85</v>
      </c>
      <c r="I36" s="141">
        <f t="shared" si="4"/>
        <v>532352.34</v>
      </c>
      <c r="J36" s="53">
        <f t="shared" si="5"/>
        <v>8.1933938166539419E-2</v>
      </c>
      <c r="K36" s="52">
        <v>854352.72000000009</v>
      </c>
      <c r="L36" s="52">
        <f t="shared" si="6"/>
        <v>-322000.38000000012</v>
      </c>
    </row>
    <row r="37" spans="1:18" x14ac:dyDescent="0.25">
      <c r="A37" s="163">
        <v>7</v>
      </c>
      <c r="B37" s="75" t="s">
        <v>49</v>
      </c>
      <c r="C37" s="76">
        <v>18</v>
      </c>
      <c r="D37" s="52">
        <v>90947.94</v>
      </c>
      <c r="E37" s="52">
        <v>1341.14</v>
      </c>
      <c r="F37" s="52">
        <v>733.25</v>
      </c>
      <c r="G37" s="52">
        <v>0</v>
      </c>
      <c r="H37" s="52">
        <v>0</v>
      </c>
      <c r="I37" s="141">
        <f t="shared" si="4"/>
        <v>93022.33</v>
      </c>
      <c r="J37" s="53">
        <f t="shared" si="5"/>
        <v>1.4316995083232704E-2</v>
      </c>
      <c r="K37" s="52">
        <v>78977.119999999995</v>
      </c>
      <c r="L37" s="52">
        <f t="shared" si="6"/>
        <v>14045.210000000006</v>
      </c>
    </row>
    <row r="38" spans="1:18" x14ac:dyDescent="0.25">
      <c r="A38" s="163">
        <v>8</v>
      </c>
      <c r="B38" s="75" t="s">
        <v>50</v>
      </c>
      <c r="C38" s="76">
        <v>1</v>
      </c>
      <c r="D38" s="52">
        <v>5135.59</v>
      </c>
      <c r="E38" s="52">
        <v>0</v>
      </c>
      <c r="F38" s="52">
        <v>0</v>
      </c>
      <c r="G38" s="52">
        <v>0</v>
      </c>
      <c r="H38" s="52">
        <v>0</v>
      </c>
      <c r="I38" s="141">
        <f t="shared" si="4"/>
        <v>5135.59</v>
      </c>
      <c r="J38" s="53">
        <f t="shared" si="5"/>
        <v>7.9041469698188651E-4</v>
      </c>
      <c r="K38" s="52">
        <v>2412.17</v>
      </c>
      <c r="L38" s="52">
        <f t="shared" si="6"/>
        <v>2723.42</v>
      </c>
    </row>
    <row r="39" spans="1:18" x14ac:dyDescent="0.25">
      <c r="A39" s="163">
        <v>9</v>
      </c>
      <c r="B39" s="75" t="s">
        <v>10</v>
      </c>
      <c r="C39" s="76">
        <v>4</v>
      </c>
      <c r="D39" s="52">
        <v>26657.93</v>
      </c>
      <c r="E39" s="52">
        <v>0</v>
      </c>
      <c r="F39" s="52">
        <v>0</v>
      </c>
      <c r="G39" s="52">
        <v>0</v>
      </c>
      <c r="H39" s="52">
        <v>0</v>
      </c>
      <c r="I39" s="141">
        <f t="shared" si="4"/>
        <v>26657.93</v>
      </c>
      <c r="J39" s="53">
        <f t="shared" si="5"/>
        <v>4.1029014510726792E-3</v>
      </c>
      <c r="K39" s="52">
        <v>35359.49</v>
      </c>
      <c r="L39" s="52">
        <f t="shared" si="6"/>
        <v>-8701.5599999999977</v>
      </c>
    </row>
    <row r="40" spans="1:18" x14ac:dyDescent="0.25">
      <c r="A40" s="163">
        <v>10</v>
      </c>
      <c r="B40" s="75" t="s">
        <v>51</v>
      </c>
      <c r="C40" s="109">
        <v>3</v>
      </c>
      <c r="D40" s="52">
        <v>17247.650000000001</v>
      </c>
      <c r="E40" s="52">
        <v>1132.45</v>
      </c>
      <c r="F40" s="52">
        <v>0</v>
      </c>
      <c r="G40" s="52">
        <v>0</v>
      </c>
      <c r="H40" s="52">
        <v>21995.32</v>
      </c>
      <c r="I40" s="141">
        <f t="shared" si="4"/>
        <v>40375.42</v>
      </c>
      <c r="J40" s="53">
        <f t="shared" si="5"/>
        <v>6.2141497597776301E-3</v>
      </c>
      <c r="K40" s="52">
        <v>14580.69</v>
      </c>
      <c r="L40" s="52">
        <f t="shared" si="6"/>
        <v>25794.729999999996</v>
      </c>
    </row>
    <row r="41" spans="1:18" x14ac:dyDescent="0.25">
      <c r="A41" s="163">
        <v>11</v>
      </c>
      <c r="B41" s="75" t="s">
        <v>11</v>
      </c>
      <c r="C41" s="76">
        <v>13</v>
      </c>
      <c r="D41" s="52">
        <v>73925.789999999994</v>
      </c>
      <c r="E41" s="52">
        <v>63700.85</v>
      </c>
      <c r="F41" s="52">
        <v>0</v>
      </c>
      <c r="G41" s="52">
        <v>0</v>
      </c>
      <c r="H41" s="52">
        <v>282055.7</v>
      </c>
      <c r="I41" s="141">
        <f t="shared" si="4"/>
        <v>419682.33999999997</v>
      </c>
      <c r="J41" s="53">
        <f t="shared" si="5"/>
        <v>6.459298534340728E-2</v>
      </c>
      <c r="K41" s="52">
        <v>615590.31999999995</v>
      </c>
      <c r="L41" s="52">
        <f t="shared" si="6"/>
        <v>-195907.97999999998</v>
      </c>
    </row>
    <row r="42" spans="1:18" x14ac:dyDescent="0.25">
      <c r="A42" s="163">
        <v>12</v>
      </c>
      <c r="B42" s="75" t="s">
        <v>52</v>
      </c>
      <c r="C42" s="76">
        <v>3</v>
      </c>
      <c r="D42" s="52">
        <v>19256.73</v>
      </c>
      <c r="E42" s="52">
        <v>200</v>
      </c>
      <c r="F42" s="52">
        <v>0</v>
      </c>
      <c r="G42" s="52">
        <v>0</v>
      </c>
      <c r="H42" s="52">
        <v>0</v>
      </c>
      <c r="I42" s="141">
        <f t="shared" si="4"/>
        <v>19456.73</v>
      </c>
      <c r="J42" s="53">
        <f t="shared" si="5"/>
        <v>2.9945703117282298E-3</v>
      </c>
      <c r="K42" s="52">
        <v>16193.46</v>
      </c>
      <c r="L42" s="52">
        <f t="shared" si="6"/>
        <v>3263.2700000000004</v>
      </c>
    </row>
    <row r="43" spans="1:18" x14ac:dyDescent="0.25">
      <c r="A43" s="163">
        <v>13</v>
      </c>
      <c r="B43" s="75" t="s">
        <v>12</v>
      </c>
      <c r="C43" s="76">
        <v>123</v>
      </c>
      <c r="D43" s="52">
        <v>732768.31</v>
      </c>
      <c r="E43" s="52">
        <v>113424.16</v>
      </c>
      <c r="F43" s="52">
        <v>15032.12</v>
      </c>
      <c r="G43" s="52">
        <v>0</v>
      </c>
      <c r="H43" s="52">
        <v>46834.080000000002</v>
      </c>
      <c r="I43" s="141">
        <f t="shared" si="4"/>
        <v>908058.67</v>
      </c>
      <c r="J43" s="53">
        <f t="shared" si="5"/>
        <v>0.13975860971958914</v>
      </c>
      <c r="K43" s="52">
        <v>734314.75</v>
      </c>
      <c r="L43" s="52">
        <f t="shared" si="6"/>
        <v>173743.92000000004</v>
      </c>
    </row>
    <row r="44" spans="1:18" x14ac:dyDescent="0.25">
      <c r="A44" s="163">
        <v>14</v>
      </c>
      <c r="B44" s="75" t="s">
        <v>53</v>
      </c>
      <c r="C44" s="76">
        <v>8</v>
      </c>
      <c r="D44" s="52">
        <v>45911.519999999997</v>
      </c>
      <c r="E44" s="52">
        <v>751.41</v>
      </c>
      <c r="F44" s="52">
        <v>318.62</v>
      </c>
      <c r="G44" s="52">
        <v>9000</v>
      </c>
      <c r="H44" s="52">
        <v>69955</v>
      </c>
      <c r="I44" s="141">
        <f t="shared" si="4"/>
        <v>125936.55</v>
      </c>
      <c r="J44" s="53">
        <f t="shared" si="5"/>
        <v>1.9382797304145036E-2</v>
      </c>
      <c r="K44" s="52">
        <v>35004.550000000003</v>
      </c>
      <c r="L44" s="52">
        <f t="shared" si="6"/>
        <v>90932</v>
      </c>
    </row>
    <row r="45" spans="1:18" x14ac:dyDescent="0.25">
      <c r="A45" s="163">
        <v>15</v>
      </c>
      <c r="B45" s="75" t="s">
        <v>54</v>
      </c>
      <c r="C45" s="76">
        <v>18</v>
      </c>
      <c r="D45" s="52">
        <v>73677.34</v>
      </c>
      <c r="E45" s="52">
        <v>41399.43</v>
      </c>
      <c r="F45" s="52">
        <v>8975</v>
      </c>
      <c r="G45" s="52">
        <v>108000</v>
      </c>
      <c r="H45" s="52">
        <v>0</v>
      </c>
      <c r="I45" s="141">
        <f t="shared" si="4"/>
        <v>232051.77</v>
      </c>
      <c r="J45" s="53">
        <f t="shared" si="5"/>
        <v>3.5714908991695285E-2</v>
      </c>
      <c r="K45" s="52">
        <v>291740.74</v>
      </c>
      <c r="L45" s="52">
        <f t="shared" si="6"/>
        <v>-59688.97</v>
      </c>
    </row>
    <row r="46" spans="1:18" x14ac:dyDescent="0.25">
      <c r="A46" s="163">
        <v>16</v>
      </c>
      <c r="B46" s="75" t="s">
        <v>55</v>
      </c>
      <c r="C46" s="76">
        <v>7</v>
      </c>
      <c r="D46" s="52">
        <v>37706.6</v>
      </c>
      <c r="E46" s="52">
        <v>1935.34</v>
      </c>
      <c r="F46" s="52">
        <v>0</v>
      </c>
      <c r="G46" s="52">
        <v>2488.9899999999998</v>
      </c>
      <c r="H46" s="52">
        <v>0</v>
      </c>
      <c r="I46" s="141">
        <f t="shared" si="4"/>
        <v>42130.929999999993</v>
      </c>
      <c r="J46" s="53">
        <f t="shared" si="5"/>
        <v>6.4843389502501295E-3</v>
      </c>
      <c r="K46" s="52">
        <v>49563.58</v>
      </c>
      <c r="L46" s="52">
        <f t="shared" si="6"/>
        <v>-7432.6500000000087</v>
      </c>
    </row>
    <row r="47" spans="1:18" x14ac:dyDescent="0.25">
      <c r="A47" s="163">
        <v>17</v>
      </c>
      <c r="B47" s="75" t="s">
        <v>13</v>
      </c>
      <c r="C47" s="76">
        <v>27</v>
      </c>
      <c r="D47" s="52">
        <v>115692.02</v>
      </c>
      <c r="E47" s="52">
        <v>7300.02</v>
      </c>
      <c r="F47" s="52">
        <v>1190.97</v>
      </c>
      <c r="G47" s="52">
        <v>0</v>
      </c>
      <c r="H47" s="52">
        <v>0</v>
      </c>
      <c r="I47" s="141">
        <f t="shared" si="4"/>
        <v>124183.01000000001</v>
      </c>
      <c r="J47" s="53">
        <f t="shared" si="5"/>
        <v>1.9112911314853518E-2</v>
      </c>
      <c r="K47" s="52">
        <v>92396.75</v>
      </c>
      <c r="L47" s="52">
        <f t="shared" si="6"/>
        <v>31786.260000000009</v>
      </c>
    </row>
    <row r="48" spans="1:18" x14ac:dyDescent="0.25">
      <c r="A48" s="163">
        <v>18</v>
      </c>
      <c r="B48" s="75" t="s">
        <v>56</v>
      </c>
      <c r="C48" s="76">
        <v>404</v>
      </c>
      <c r="D48" s="52">
        <v>2197243.3199999998</v>
      </c>
      <c r="E48" s="52">
        <v>91971.57</v>
      </c>
      <c r="F48" s="52">
        <v>15839.42</v>
      </c>
      <c r="G48" s="52">
        <v>22680</v>
      </c>
      <c r="H48" s="52">
        <v>172382.59</v>
      </c>
      <c r="I48" s="141">
        <f t="shared" si="4"/>
        <v>2500116.8999999994</v>
      </c>
      <c r="J48" s="53">
        <f t="shared" si="5"/>
        <v>0.38479106430474258</v>
      </c>
      <c r="K48" s="52">
        <v>2035302.38</v>
      </c>
      <c r="L48" s="52">
        <f t="shared" si="6"/>
        <v>464814.51999999955</v>
      </c>
    </row>
    <row r="49" spans="1:12" x14ac:dyDescent="0.25">
      <c r="A49" s="163">
        <v>19</v>
      </c>
      <c r="B49" s="75" t="s">
        <v>57</v>
      </c>
      <c r="C49" s="76">
        <v>100</v>
      </c>
      <c r="D49" s="52">
        <v>549840.78</v>
      </c>
      <c r="E49" s="52">
        <v>39735.339999999997</v>
      </c>
      <c r="F49" s="52">
        <v>3851.85</v>
      </c>
      <c r="G49" s="52">
        <v>58481</v>
      </c>
      <c r="H49" s="52">
        <v>15000</v>
      </c>
      <c r="I49" s="141">
        <f t="shared" si="4"/>
        <v>666908.97</v>
      </c>
      <c r="J49" s="53">
        <f t="shared" si="5"/>
        <v>0.10264344533676792</v>
      </c>
      <c r="K49" s="52">
        <v>705462.61</v>
      </c>
      <c r="L49" s="52">
        <f t="shared" si="6"/>
        <v>-38553.640000000014</v>
      </c>
    </row>
    <row r="50" spans="1:12" x14ac:dyDescent="0.25">
      <c r="A50" s="77"/>
      <c r="B50" s="78" t="s">
        <v>5</v>
      </c>
      <c r="C50" s="79">
        <f t="shared" ref="C50:K50" si="7">SUM(C31:C49)</f>
        <v>823</v>
      </c>
      <c r="D50" s="58">
        <f t="shared" si="7"/>
        <v>4497766.87</v>
      </c>
      <c r="E50" s="58">
        <f t="shared" si="7"/>
        <v>662118.04999999993</v>
      </c>
      <c r="F50" s="58">
        <f t="shared" si="7"/>
        <v>107497.92</v>
      </c>
      <c r="G50" s="58">
        <f t="shared" si="7"/>
        <v>273274.99</v>
      </c>
      <c r="H50" s="58">
        <f t="shared" si="7"/>
        <v>956678.34</v>
      </c>
      <c r="I50" s="58">
        <f t="shared" si="7"/>
        <v>6497336.169999999</v>
      </c>
      <c r="J50" s="59">
        <v>1</v>
      </c>
      <c r="K50" s="58">
        <f t="shared" si="7"/>
        <v>6226090.0499999998</v>
      </c>
      <c r="L50" s="60">
        <f>I50-K50</f>
        <v>271246.11999999918</v>
      </c>
    </row>
    <row r="51" spans="1:12" x14ac:dyDescent="0.25">
      <c r="A51" s="119"/>
      <c r="B51" s="75" t="s">
        <v>59</v>
      </c>
      <c r="C51" s="76"/>
      <c r="D51" s="53">
        <f>IFERROR(D50/$I$50,"")</f>
        <v>0.69224783085219377</v>
      </c>
      <c r="E51" s="53">
        <f t="shared" ref="E51:H51" si="8">IFERROR(E50/$I$50,"")</f>
        <v>0.10190607853372008</v>
      </c>
      <c r="F51" s="53">
        <f t="shared" si="8"/>
        <v>1.6544921978386723E-2</v>
      </c>
      <c r="G51" s="53">
        <f t="shared" si="8"/>
        <v>4.2059542995756677E-2</v>
      </c>
      <c r="H51" s="53">
        <f t="shared" si="8"/>
        <v>0.14724162563994286</v>
      </c>
      <c r="I51" s="143">
        <f>IFERROR(I50/$I$50,"")</f>
        <v>1</v>
      </c>
      <c r="J51" s="62"/>
      <c r="K51" s="53"/>
      <c r="L51" s="62"/>
    </row>
  </sheetData>
  <mergeCells count="3">
    <mergeCell ref="A1:J1"/>
    <mergeCell ref="B24:C24"/>
    <mergeCell ref="A28:L28"/>
  </mergeCells>
  <pageMargins left="0.7" right="0.7" top="0.75" bottom="0.75" header="0.3" footer="0.3"/>
  <pageSetup paperSize="9" scale="5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12"/>
  <sheetViews>
    <sheetView showGridLines="0" zoomScaleNormal="100" workbookViewId="0">
      <selection activeCell="D22" sqref="D22"/>
    </sheetView>
  </sheetViews>
  <sheetFormatPr defaultRowHeight="15" x14ac:dyDescent="0.25"/>
  <cols>
    <col min="1" max="1" width="69.42578125" style="4" bestFit="1" customWidth="1"/>
    <col min="2" max="2" width="13" style="4" bestFit="1" customWidth="1"/>
    <col min="3" max="3" width="13.42578125" style="4" bestFit="1" customWidth="1"/>
    <col min="4" max="4" width="11.5703125" style="4" bestFit="1" customWidth="1"/>
    <col min="5" max="5" width="9.85546875" style="4" bestFit="1" customWidth="1"/>
    <col min="6" max="6" width="14.42578125" style="4" bestFit="1" customWidth="1"/>
    <col min="7" max="7" width="10.5703125" style="4" bestFit="1" customWidth="1"/>
    <col min="8" max="8" width="13" style="47" bestFit="1" customWidth="1"/>
    <col min="9" max="9" width="13.42578125" style="4" bestFit="1" customWidth="1"/>
    <col min="10" max="10" width="10.140625" style="47" bestFit="1" customWidth="1"/>
    <col min="11" max="11" width="13.42578125" style="4" bestFit="1" customWidth="1"/>
    <col min="12" max="12" width="10.140625" style="4" bestFit="1" customWidth="1"/>
    <col min="13" max="13" width="13" style="4" bestFit="1" customWidth="1"/>
    <col min="14" max="14" width="11.140625" style="47" bestFit="1" customWidth="1"/>
    <col min="15" max="15" width="12" style="4" bestFit="1" customWidth="1"/>
    <col min="16" max="16" width="12.5703125" style="4" bestFit="1" customWidth="1"/>
    <col min="17" max="17" width="13.42578125" style="4" bestFit="1" customWidth="1"/>
    <col min="18" max="18" width="14" style="4" customWidth="1"/>
    <col min="19" max="19" width="13.28515625" style="4" bestFit="1" customWidth="1"/>
    <col min="20" max="21" width="14.85546875" style="4" bestFit="1" customWidth="1"/>
    <col min="22" max="22" width="12.28515625" style="4" bestFit="1" customWidth="1"/>
    <col min="23" max="16384" width="9.140625" style="4"/>
  </cols>
  <sheetData>
    <row r="1" spans="1:21" ht="24" customHeight="1" x14ac:dyDescent="0.25">
      <c r="A1" s="180" t="s">
        <v>276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</row>
    <row r="2" spans="1:21" x14ac:dyDescent="0.25">
      <c r="A2" s="66"/>
    </row>
    <row r="3" spans="1:21" ht="115.5" thickBot="1" x14ac:dyDescent="0.3">
      <c r="A3" s="67" t="s">
        <v>58</v>
      </c>
      <c r="B3" s="49" t="s">
        <v>46</v>
      </c>
      <c r="C3" s="124" t="s">
        <v>7</v>
      </c>
      <c r="D3" s="124" t="s">
        <v>48</v>
      </c>
      <c r="E3" s="124" t="s">
        <v>8</v>
      </c>
      <c r="F3" s="124" t="s">
        <v>9</v>
      </c>
      <c r="G3" s="124" t="s">
        <v>49</v>
      </c>
      <c r="H3" s="125" t="s">
        <v>51</v>
      </c>
      <c r="I3" s="124" t="s">
        <v>11</v>
      </c>
      <c r="J3" s="124" t="s">
        <v>52</v>
      </c>
      <c r="K3" s="124" t="s">
        <v>12</v>
      </c>
      <c r="L3" s="124" t="s">
        <v>53</v>
      </c>
      <c r="M3" s="124" t="s">
        <v>54</v>
      </c>
      <c r="N3" s="124" t="s">
        <v>55</v>
      </c>
      <c r="O3" s="124" t="s">
        <v>13</v>
      </c>
      <c r="P3" s="124" t="s">
        <v>56</v>
      </c>
      <c r="Q3" s="124" t="s">
        <v>57</v>
      </c>
      <c r="R3" s="126" t="s">
        <v>295</v>
      </c>
      <c r="S3" s="127" t="s">
        <v>45</v>
      </c>
      <c r="T3" s="126" t="s">
        <v>296</v>
      </c>
      <c r="U3" s="126" t="s">
        <v>291</v>
      </c>
    </row>
    <row r="4" spans="1:21" s="117" customFormat="1" ht="15.75" thickBot="1" x14ac:dyDescent="0.3">
      <c r="A4" s="68" t="s">
        <v>200</v>
      </c>
      <c r="B4" s="131">
        <v>0</v>
      </c>
      <c r="C4" s="132">
        <v>0</v>
      </c>
      <c r="D4" s="132">
        <v>0</v>
      </c>
      <c r="E4" s="132">
        <v>0</v>
      </c>
      <c r="F4" s="132">
        <v>0</v>
      </c>
      <c r="G4" s="132">
        <v>0</v>
      </c>
      <c r="H4" s="132">
        <v>0</v>
      </c>
      <c r="I4" s="132">
        <v>0</v>
      </c>
      <c r="J4" s="132">
        <v>0</v>
      </c>
      <c r="K4" s="132">
        <v>0</v>
      </c>
      <c r="L4" s="132">
        <v>0</v>
      </c>
      <c r="M4" s="132">
        <v>0</v>
      </c>
      <c r="N4" s="132">
        <v>0</v>
      </c>
      <c r="O4" s="132">
        <v>0</v>
      </c>
      <c r="P4" s="132">
        <v>0</v>
      </c>
      <c r="Q4" s="132">
        <v>0</v>
      </c>
      <c r="R4" s="139">
        <f t="shared" ref="R4" si="0">SUM(B4:Q4)</f>
        <v>0</v>
      </c>
      <c r="S4" s="130">
        <f t="shared" ref="S4:S30" si="1">IFERROR(R4/$R$46,"")</f>
        <v>0</v>
      </c>
      <c r="T4" s="138">
        <v>1225</v>
      </c>
      <c r="U4" s="129">
        <f>R4-T4</f>
        <v>-1225</v>
      </c>
    </row>
    <row r="5" spans="1:21" s="47" customFormat="1" ht="15.75" thickBot="1" x14ac:dyDescent="0.3">
      <c r="A5" s="68" t="s">
        <v>195</v>
      </c>
      <c r="B5" s="131">
        <v>0</v>
      </c>
      <c r="C5" s="132">
        <v>0</v>
      </c>
      <c r="D5" s="132">
        <v>0</v>
      </c>
      <c r="E5" s="132">
        <v>0</v>
      </c>
      <c r="F5" s="132">
        <v>0</v>
      </c>
      <c r="G5" s="132">
        <v>0</v>
      </c>
      <c r="H5" s="132">
        <v>0</v>
      </c>
      <c r="I5" s="132">
        <v>0</v>
      </c>
      <c r="J5" s="132">
        <v>0</v>
      </c>
      <c r="K5" s="132">
        <v>0</v>
      </c>
      <c r="L5" s="132">
        <v>0</v>
      </c>
      <c r="M5" s="132">
        <v>0</v>
      </c>
      <c r="N5" s="132">
        <v>320</v>
      </c>
      <c r="O5" s="132">
        <v>0</v>
      </c>
      <c r="P5" s="132">
        <v>0</v>
      </c>
      <c r="Q5" s="132">
        <v>0</v>
      </c>
      <c r="R5" s="139">
        <f t="shared" ref="R5:R45" si="2">SUM(B5:Q5)</f>
        <v>320</v>
      </c>
      <c r="S5" s="130">
        <f t="shared" si="1"/>
        <v>4.8329750261301587E-4</v>
      </c>
      <c r="T5" s="138">
        <v>840</v>
      </c>
      <c r="U5" s="129">
        <f>R5-T5</f>
        <v>-520</v>
      </c>
    </row>
    <row r="6" spans="1:21" ht="15.75" thickBot="1" x14ac:dyDescent="0.3">
      <c r="A6" s="68" t="s">
        <v>60</v>
      </c>
      <c r="B6" s="131">
        <v>0</v>
      </c>
      <c r="C6" s="132">
        <v>0</v>
      </c>
      <c r="D6" s="132">
        <v>0</v>
      </c>
      <c r="E6" s="132">
        <v>0</v>
      </c>
      <c r="F6" s="132">
        <v>0</v>
      </c>
      <c r="G6" s="132">
        <v>0</v>
      </c>
      <c r="H6" s="132">
        <v>0</v>
      </c>
      <c r="I6" s="132">
        <v>295.16000000000003</v>
      </c>
      <c r="J6" s="132">
        <v>0</v>
      </c>
      <c r="K6" s="132">
        <v>0</v>
      </c>
      <c r="L6" s="132">
        <v>0</v>
      </c>
      <c r="M6" s="132">
        <v>0</v>
      </c>
      <c r="N6" s="132">
        <v>0</v>
      </c>
      <c r="O6" s="132">
        <v>0</v>
      </c>
      <c r="P6" s="132">
        <v>0</v>
      </c>
      <c r="Q6" s="132">
        <v>0</v>
      </c>
      <c r="R6" s="139">
        <f t="shared" si="2"/>
        <v>295.16000000000003</v>
      </c>
      <c r="S6" s="130">
        <f t="shared" si="1"/>
        <v>4.4578153397268055E-4</v>
      </c>
      <c r="T6" s="132">
        <v>60.48</v>
      </c>
      <c r="U6" s="129">
        <f t="shared" ref="U6:U45" si="3">R6-T6</f>
        <v>234.68000000000004</v>
      </c>
    </row>
    <row r="7" spans="1:21" ht="15.75" thickBot="1" x14ac:dyDescent="0.3">
      <c r="A7" s="55" t="s">
        <v>61</v>
      </c>
      <c r="B7" s="134">
        <v>0</v>
      </c>
      <c r="C7" s="132">
        <v>1967</v>
      </c>
      <c r="D7" s="132">
        <v>0</v>
      </c>
      <c r="E7" s="132">
        <v>0</v>
      </c>
      <c r="F7" s="132">
        <v>0</v>
      </c>
      <c r="G7" s="132">
        <v>0</v>
      </c>
      <c r="H7" s="132">
        <v>0</v>
      </c>
      <c r="I7" s="132">
        <v>0</v>
      </c>
      <c r="J7" s="132">
        <v>0</v>
      </c>
      <c r="K7" s="132">
        <v>0</v>
      </c>
      <c r="L7" s="132">
        <v>0</v>
      </c>
      <c r="M7" s="132">
        <v>0</v>
      </c>
      <c r="N7" s="132">
        <v>0</v>
      </c>
      <c r="O7" s="132">
        <v>0</v>
      </c>
      <c r="P7" s="132">
        <v>0</v>
      </c>
      <c r="Q7" s="132">
        <v>0</v>
      </c>
      <c r="R7" s="139">
        <f t="shared" si="2"/>
        <v>1967</v>
      </c>
      <c r="S7" s="130">
        <f t="shared" si="1"/>
        <v>2.9707693363743822E-3</v>
      </c>
      <c r="T7" s="132">
        <v>2386.83</v>
      </c>
      <c r="U7" s="129">
        <f t="shared" si="3"/>
        <v>-419.82999999999993</v>
      </c>
    </row>
    <row r="8" spans="1:21" ht="15.75" thickBot="1" x14ac:dyDescent="0.3">
      <c r="A8" s="55" t="s">
        <v>62</v>
      </c>
      <c r="B8" s="131">
        <v>0</v>
      </c>
      <c r="C8" s="132">
        <v>37.200000000000003</v>
      </c>
      <c r="D8" s="132">
        <v>0</v>
      </c>
      <c r="E8" s="132">
        <v>0</v>
      </c>
      <c r="F8" s="132">
        <v>0</v>
      </c>
      <c r="G8" s="132">
        <v>0</v>
      </c>
      <c r="H8" s="132">
        <v>0</v>
      </c>
      <c r="I8" s="132">
        <v>0</v>
      </c>
      <c r="J8" s="132">
        <v>0</v>
      </c>
      <c r="K8" s="132">
        <v>0</v>
      </c>
      <c r="L8" s="132">
        <v>0</v>
      </c>
      <c r="M8" s="132">
        <v>0</v>
      </c>
      <c r="N8" s="132">
        <v>0</v>
      </c>
      <c r="O8" s="132">
        <v>0</v>
      </c>
      <c r="P8" s="132">
        <v>0</v>
      </c>
      <c r="Q8" s="132">
        <v>0</v>
      </c>
      <c r="R8" s="139">
        <f t="shared" si="2"/>
        <v>37.200000000000003</v>
      </c>
      <c r="S8" s="130">
        <f t="shared" si="1"/>
        <v>5.6183334678763097E-5</v>
      </c>
      <c r="T8" s="132">
        <v>53.8</v>
      </c>
      <c r="U8" s="129">
        <f t="shared" si="3"/>
        <v>-16.599999999999994</v>
      </c>
    </row>
    <row r="9" spans="1:21" s="117" customFormat="1" ht="15.75" thickBot="1" x14ac:dyDescent="0.3">
      <c r="A9" s="55" t="s">
        <v>201</v>
      </c>
      <c r="B9" s="131">
        <v>0</v>
      </c>
      <c r="C9" s="132">
        <v>0</v>
      </c>
      <c r="D9" s="132">
        <v>0</v>
      </c>
      <c r="E9" s="132">
        <v>0</v>
      </c>
      <c r="F9" s="132">
        <v>0</v>
      </c>
      <c r="G9" s="132">
        <v>0</v>
      </c>
      <c r="H9" s="132">
        <v>0</v>
      </c>
      <c r="I9" s="132">
        <v>0</v>
      </c>
      <c r="J9" s="132">
        <v>0</v>
      </c>
      <c r="K9" s="132">
        <v>0</v>
      </c>
      <c r="L9" s="132">
        <v>0</v>
      </c>
      <c r="M9" s="132">
        <v>0</v>
      </c>
      <c r="N9" s="132">
        <v>0</v>
      </c>
      <c r="O9" s="132">
        <v>0</v>
      </c>
      <c r="P9" s="132">
        <v>0</v>
      </c>
      <c r="Q9" s="132">
        <v>0</v>
      </c>
      <c r="R9" s="139">
        <f t="shared" ref="R9" si="4">SUM(B9:Q9)</f>
        <v>0</v>
      </c>
      <c r="S9" s="130">
        <f t="shared" si="1"/>
        <v>0</v>
      </c>
      <c r="T9" s="138">
        <v>200</v>
      </c>
      <c r="U9" s="129">
        <f t="shared" ref="U9" si="5">R9-T9</f>
        <v>-200</v>
      </c>
    </row>
    <row r="10" spans="1:21" ht="15.75" thickBot="1" x14ac:dyDescent="0.3">
      <c r="A10" s="55" t="s">
        <v>86</v>
      </c>
      <c r="B10" s="131">
        <v>0</v>
      </c>
      <c r="C10" s="132">
        <v>0</v>
      </c>
      <c r="D10" s="132">
        <v>0</v>
      </c>
      <c r="E10" s="132">
        <v>0</v>
      </c>
      <c r="F10" s="132">
        <v>0</v>
      </c>
      <c r="G10" s="132">
        <v>0</v>
      </c>
      <c r="H10" s="132">
        <v>0</v>
      </c>
      <c r="I10" s="132">
        <v>0</v>
      </c>
      <c r="J10" s="132">
        <v>0</v>
      </c>
      <c r="K10" s="132">
        <v>2978.2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9">
        <f t="shared" si="2"/>
        <v>2978.2</v>
      </c>
      <c r="S10" s="130">
        <f t="shared" si="1"/>
        <v>4.4979894446315121E-3</v>
      </c>
      <c r="T10" s="138">
        <v>1365.6</v>
      </c>
      <c r="U10" s="129">
        <f t="shared" si="3"/>
        <v>1612.6</v>
      </c>
    </row>
    <row r="11" spans="1:21" ht="15.75" thickBot="1" x14ac:dyDescent="0.3">
      <c r="A11" s="55" t="s">
        <v>63</v>
      </c>
      <c r="B11" s="131">
        <v>5618.8</v>
      </c>
      <c r="C11" s="132">
        <v>4504.5</v>
      </c>
      <c r="D11" s="132">
        <v>1287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  <c r="J11" s="132">
        <v>0</v>
      </c>
      <c r="K11" s="132">
        <v>0</v>
      </c>
      <c r="L11" s="132">
        <v>0</v>
      </c>
      <c r="M11" s="132">
        <v>600</v>
      </c>
      <c r="N11" s="132">
        <v>0</v>
      </c>
      <c r="O11" s="132">
        <v>0</v>
      </c>
      <c r="P11" s="132">
        <v>0</v>
      </c>
      <c r="Q11" s="132">
        <v>0</v>
      </c>
      <c r="R11" s="139">
        <f t="shared" si="2"/>
        <v>12010.3</v>
      </c>
      <c r="S11" s="130">
        <f t="shared" si="1"/>
        <v>1.8139212486353452E-2</v>
      </c>
      <c r="T11" s="132">
        <v>10540.2</v>
      </c>
      <c r="U11" s="129">
        <f t="shared" si="3"/>
        <v>1470.0999999999985</v>
      </c>
    </row>
    <row r="12" spans="1:21" ht="15.75" thickBot="1" x14ac:dyDescent="0.3">
      <c r="A12" s="55" t="s">
        <v>64</v>
      </c>
      <c r="B12" s="131">
        <v>1860</v>
      </c>
      <c r="C12" s="132">
        <v>1875</v>
      </c>
      <c r="D12" s="132">
        <v>0</v>
      </c>
      <c r="E12" s="132">
        <v>625</v>
      </c>
      <c r="F12" s="132">
        <v>0</v>
      </c>
      <c r="G12" s="132">
        <v>0</v>
      </c>
      <c r="H12" s="132">
        <v>0</v>
      </c>
      <c r="I12" s="132">
        <v>3140</v>
      </c>
      <c r="J12" s="132">
        <v>200</v>
      </c>
      <c r="K12" s="132">
        <v>14750</v>
      </c>
      <c r="L12" s="132">
        <v>0</v>
      </c>
      <c r="M12" s="132">
        <v>0</v>
      </c>
      <c r="N12" s="132">
        <v>0</v>
      </c>
      <c r="O12" s="132">
        <v>0</v>
      </c>
      <c r="P12" s="132">
        <v>0</v>
      </c>
      <c r="Q12" s="132">
        <v>0</v>
      </c>
      <c r="R12" s="139">
        <f t="shared" si="2"/>
        <v>22450</v>
      </c>
      <c r="S12" s="130">
        <f t="shared" si="1"/>
        <v>3.3906340417694393E-2</v>
      </c>
      <c r="T12" s="132">
        <v>10900</v>
      </c>
      <c r="U12" s="129">
        <f t="shared" si="3"/>
        <v>11550</v>
      </c>
    </row>
    <row r="13" spans="1:21" ht="15.75" thickBot="1" x14ac:dyDescent="0.3">
      <c r="A13" s="55" t="s">
        <v>85</v>
      </c>
      <c r="B13" s="131">
        <v>0</v>
      </c>
      <c r="C13" s="132">
        <v>0</v>
      </c>
      <c r="D13" s="132">
        <v>0</v>
      </c>
      <c r="E13" s="132">
        <v>0</v>
      </c>
      <c r="F13" s="132">
        <v>0</v>
      </c>
      <c r="G13" s="132">
        <v>0</v>
      </c>
      <c r="H13" s="132">
        <v>0</v>
      </c>
      <c r="I13" s="132">
        <v>0</v>
      </c>
      <c r="J13" s="132">
        <v>0</v>
      </c>
      <c r="K13" s="132">
        <v>0</v>
      </c>
      <c r="L13" s="132">
        <v>0</v>
      </c>
      <c r="M13" s="132">
        <v>1399</v>
      </c>
      <c r="N13" s="132">
        <v>0</v>
      </c>
      <c r="O13" s="132">
        <v>0</v>
      </c>
      <c r="P13" s="132">
        <v>898.65</v>
      </c>
      <c r="Q13" s="132">
        <v>0</v>
      </c>
      <c r="R13" s="139">
        <f t="shared" si="2"/>
        <v>2297.65</v>
      </c>
      <c r="S13" s="130">
        <f t="shared" si="1"/>
        <v>3.4701515839962375E-3</v>
      </c>
      <c r="T13" s="132">
        <v>0</v>
      </c>
      <c r="U13" s="129">
        <f t="shared" si="3"/>
        <v>2297.65</v>
      </c>
    </row>
    <row r="14" spans="1:21" ht="15.75" thickBot="1" x14ac:dyDescent="0.3">
      <c r="A14" s="55" t="s">
        <v>65</v>
      </c>
      <c r="B14" s="131">
        <v>0</v>
      </c>
      <c r="C14" s="132">
        <v>0</v>
      </c>
      <c r="D14" s="132">
        <v>0</v>
      </c>
      <c r="E14" s="132">
        <v>0</v>
      </c>
      <c r="F14" s="132">
        <v>0</v>
      </c>
      <c r="G14" s="132">
        <v>0</v>
      </c>
      <c r="H14" s="132">
        <v>0</v>
      </c>
      <c r="I14" s="132">
        <v>0</v>
      </c>
      <c r="J14" s="132">
        <v>0</v>
      </c>
      <c r="K14" s="132">
        <v>0</v>
      </c>
      <c r="L14" s="132">
        <v>0</v>
      </c>
      <c r="M14" s="132">
        <v>999</v>
      </c>
      <c r="N14" s="132">
        <v>0</v>
      </c>
      <c r="O14" s="132">
        <v>0</v>
      </c>
      <c r="P14" s="132">
        <v>1785</v>
      </c>
      <c r="Q14" s="132">
        <v>12610</v>
      </c>
      <c r="R14" s="139">
        <f t="shared" si="2"/>
        <v>15394</v>
      </c>
      <c r="S14" s="130">
        <f t="shared" si="1"/>
        <v>2.3249630485077395E-2</v>
      </c>
      <c r="T14" s="132">
        <v>13485</v>
      </c>
      <c r="U14" s="129">
        <f t="shared" si="3"/>
        <v>1909</v>
      </c>
    </row>
    <row r="15" spans="1:21" ht="15.75" thickBot="1" x14ac:dyDescent="0.3">
      <c r="A15" s="55" t="s">
        <v>96</v>
      </c>
      <c r="B15" s="131">
        <v>0</v>
      </c>
      <c r="C15" s="132">
        <v>0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132">
        <v>10387.540000000001</v>
      </c>
      <c r="J15" s="132">
        <v>0</v>
      </c>
      <c r="K15" s="132">
        <v>0</v>
      </c>
      <c r="L15" s="132">
        <v>0</v>
      </c>
      <c r="M15" s="132">
        <v>0</v>
      </c>
      <c r="N15" s="132">
        <v>171.1</v>
      </c>
      <c r="O15" s="132">
        <v>0</v>
      </c>
      <c r="P15" s="132">
        <v>0</v>
      </c>
      <c r="Q15" s="132">
        <v>0</v>
      </c>
      <c r="R15" s="139">
        <f t="shared" si="2"/>
        <v>10558.640000000001</v>
      </c>
      <c r="S15" s="130">
        <f t="shared" si="1"/>
        <v>1.5946763571843419E-2</v>
      </c>
      <c r="T15" s="132">
        <v>6641.51</v>
      </c>
      <c r="U15" s="129">
        <f t="shared" si="3"/>
        <v>3917.130000000001</v>
      </c>
    </row>
    <row r="16" spans="1:21" ht="15.75" thickBot="1" x14ac:dyDescent="0.3">
      <c r="A16" s="55" t="s">
        <v>66</v>
      </c>
      <c r="B16" s="131">
        <v>0</v>
      </c>
      <c r="C16" s="133">
        <v>10446.040000000001</v>
      </c>
      <c r="D16" s="132">
        <v>0</v>
      </c>
      <c r="E16" s="132">
        <v>0</v>
      </c>
      <c r="F16" s="132">
        <v>0</v>
      </c>
      <c r="G16" s="132">
        <v>0</v>
      </c>
      <c r="H16" s="132">
        <v>0</v>
      </c>
      <c r="I16" s="132">
        <v>0</v>
      </c>
      <c r="J16" s="132">
        <v>0</v>
      </c>
      <c r="K16" s="132">
        <v>13488.25</v>
      </c>
      <c r="L16" s="132">
        <v>0</v>
      </c>
      <c r="M16" s="132">
        <v>26751.5</v>
      </c>
      <c r="N16" s="132">
        <v>0</v>
      </c>
      <c r="O16" s="132">
        <v>0</v>
      </c>
      <c r="P16" s="132">
        <v>3267.18</v>
      </c>
      <c r="Q16" s="132">
        <v>2697.65</v>
      </c>
      <c r="R16" s="139">
        <f t="shared" si="2"/>
        <v>56650.62</v>
      </c>
      <c r="S16" s="130">
        <f t="shared" si="1"/>
        <v>8.5559697398371784E-2</v>
      </c>
      <c r="T16" s="132">
        <v>49238.47</v>
      </c>
      <c r="U16" s="129">
        <f t="shared" si="3"/>
        <v>7412.1500000000015</v>
      </c>
    </row>
    <row r="17" spans="1:21" ht="15.75" thickBot="1" x14ac:dyDescent="0.3">
      <c r="A17" s="55" t="s">
        <v>67</v>
      </c>
      <c r="B17" s="131">
        <v>4157.3999999999996</v>
      </c>
      <c r="C17" s="132">
        <v>0</v>
      </c>
      <c r="D17" s="132">
        <v>0</v>
      </c>
      <c r="E17" s="132">
        <v>0</v>
      </c>
      <c r="F17" s="132">
        <v>0</v>
      </c>
      <c r="G17" s="132">
        <v>0</v>
      </c>
      <c r="H17" s="132">
        <v>990</v>
      </c>
      <c r="I17" s="132">
        <v>0</v>
      </c>
      <c r="J17" s="132">
        <v>0</v>
      </c>
      <c r="K17" s="132">
        <v>0</v>
      </c>
      <c r="L17" s="132">
        <v>0</v>
      </c>
      <c r="M17" s="132">
        <v>0</v>
      </c>
      <c r="N17" s="132">
        <v>0</v>
      </c>
      <c r="O17" s="132">
        <v>0</v>
      </c>
      <c r="P17" s="132">
        <v>0</v>
      </c>
      <c r="Q17" s="132">
        <v>0</v>
      </c>
      <c r="R17" s="139">
        <f t="shared" si="2"/>
        <v>5147.3999999999996</v>
      </c>
      <c r="S17" s="130">
        <f t="shared" si="1"/>
        <v>7.7741423904694931E-3</v>
      </c>
      <c r="T17" s="132">
        <v>6001.35</v>
      </c>
      <c r="U17" s="129">
        <f t="shared" si="3"/>
        <v>-853.95000000000073</v>
      </c>
    </row>
    <row r="18" spans="1:21" ht="15.75" thickBot="1" x14ac:dyDescent="0.3">
      <c r="A18" s="55" t="s">
        <v>97</v>
      </c>
      <c r="B18" s="131">
        <v>0</v>
      </c>
      <c r="C18" s="132">
        <v>0</v>
      </c>
      <c r="D18" s="132">
        <v>0</v>
      </c>
      <c r="E18" s="132">
        <v>0</v>
      </c>
      <c r="F18" s="132">
        <v>0</v>
      </c>
      <c r="G18" s="132">
        <v>0</v>
      </c>
      <c r="H18" s="132">
        <v>0</v>
      </c>
      <c r="I18" s="132">
        <v>0</v>
      </c>
      <c r="J18" s="132">
        <v>0</v>
      </c>
      <c r="K18" s="132">
        <v>0</v>
      </c>
      <c r="L18" s="132">
        <v>0</v>
      </c>
      <c r="M18" s="132">
        <v>0</v>
      </c>
      <c r="N18" s="132">
        <v>0</v>
      </c>
      <c r="O18" s="132">
        <v>0</v>
      </c>
      <c r="P18" s="132">
        <v>0</v>
      </c>
      <c r="Q18" s="132">
        <v>0</v>
      </c>
      <c r="R18" s="139">
        <f t="shared" si="2"/>
        <v>0</v>
      </c>
      <c r="S18" s="130">
        <f t="shared" si="1"/>
        <v>0</v>
      </c>
      <c r="T18" s="132">
        <v>3967.97</v>
      </c>
      <c r="U18" s="129">
        <f t="shared" si="3"/>
        <v>-3967.97</v>
      </c>
    </row>
    <row r="19" spans="1:21" s="47" customFormat="1" ht="15.75" thickBot="1" x14ac:dyDescent="0.3">
      <c r="A19" s="55" t="s">
        <v>188</v>
      </c>
      <c r="B19" s="131">
        <v>990</v>
      </c>
      <c r="C19" s="132">
        <v>0</v>
      </c>
      <c r="D19" s="132">
        <v>0</v>
      </c>
      <c r="E19" s="132">
        <v>0</v>
      </c>
      <c r="F19" s="132">
        <v>0</v>
      </c>
      <c r="G19" s="132">
        <v>0</v>
      </c>
      <c r="H19" s="132">
        <v>0</v>
      </c>
      <c r="I19" s="132">
        <v>0</v>
      </c>
      <c r="J19" s="132">
        <v>0</v>
      </c>
      <c r="K19" s="132">
        <v>0</v>
      </c>
      <c r="L19" s="132">
        <v>0</v>
      </c>
      <c r="M19" s="132">
        <v>0</v>
      </c>
      <c r="N19" s="132">
        <v>0</v>
      </c>
      <c r="O19" s="132">
        <v>0</v>
      </c>
      <c r="P19" s="132">
        <v>0</v>
      </c>
      <c r="Q19" s="132">
        <v>0</v>
      </c>
      <c r="R19" s="139">
        <f t="shared" si="2"/>
        <v>990</v>
      </c>
      <c r="S19" s="130">
        <f t="shared" si="1"/>
        <v>1.495201648709018E-3</v>
      </c>
      <c r="T19" s="132">
        <v>0</v>
      </c>
      <c r="U19" s="129">
        <f t="shared" si="3"/>
        <v>990</v>
      </c>
    </row>
    <row r="20" spans="1:21" s="47" customFormat="1" ht="15.75" thickBot="1" x14ac:dyDescent="0.3">
      <c r="A20" s="55" t="s">
        <v>189</v>
      </c>
      <c r="B20" s="131">
        <v>0</v>
      </c>
      <c r="C20" s="132">
        <v>9180</v>
      </c>
      <c r="D20" s="132">
        <v>0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  <c r="J20" s="132">
        <v>0</v>
      </c>
      <c r="K20" s="132">
        <v>0</v>
      </c>
      <c r="L20" s="132">
        <v>0</v>
      </c>
      <c r="M20" s="132">
        <v>0</v>
      </c>
      <c r="N20" s="132">
        <v>0</v>
      </c>
      <c r="O20" s="132">
        <v>0</v>
      </c>
      <c r="P20" s="132">
        <v>0</v>
      </c>
      <c r="Q20" s="132">
        <v>0</v>
      </c>
      <c r="R20" s="139">
        <f t="shared" si="2"/>
        <v>9180</v>
      </c>
      <c r="S20" s="130">
        <f t="shared" si="1"/>
        <v>1.3864597106210894E-2</v>
      </c>
      <c r="T20" s="132">
        <v>13764</v>
      </c>
      <c r="U20" s="129">
        <f t="shared" si="3"/>
        <v>-4584</v>
      </c>
    </row>
    <row r="21" spans="1:21" ht="15.75" thickBot="1" x14ac:dyDescent="0.3">
      <c r="A21" s="55" t="s">
        <v>68</v>
      </c>
      <c r="B21" s="131">
        <v>3426.2</v>
      </c>
      <c r="C21" s="132">
        <v>4945</v>
      </c>
      <c r="D21" s="132">
        <v>0</v>
      </c>
      <c r="E21" s="132">
        <v>129.5</v>
      </c>
      <c r="F21" s="132">
        <v>0</v>
      </c>
      <c r="G21" s="132">
        <v>0</v>
      </c>
      <c r="H21" s="132">
        <v>142.44999999999999</v>
      </c>
      <c r="I21" s="132">
        <v>558.26</v>
      </c>
      <c r="J21" s="132">
        <v>0</v>
      </c>
      <c r="K21" s="132">
        <v>4396</v>
      </c>
      <c r="L21" s="132">
        <v>0</v>
      </c>
      <c r="M21" s="132">
        <v>0</v>
      </c>
      <c r="N21" s="132">
        <v>0</v>
      </c>
      <c r="O21" s="132">
        <v>300</v>
      </c>
      <c r="P21" s="132">
        <v>2267.9899999999998</v>
      </c>
      <c r="Q21" s="132">
        <v>0</v>
      </c>
      <c r="R21" s="139">
        <f t="shared" si="2"/>
        <v>16165.400000000001</v>
      </c>
      <c r="S21" s="130">
        <f t="shared" si="1"/>
        <v>2.4414679527313899E-2</v>
      </c>
      <c r="T21" s="132">
        <v>4756.26</v>
      </c>
      <c r="U21" s="129">
        <f t="shared" si="3"/>
        <v>11409.140000000001</v>
      </c>
    </row>
    <row r="22" spans="1:21" ht="15.75" thickBot="1" x14ac:dyDescent="0.3">
      <c r="A22" s="55" t="s">
        <v>69</v>
      </c>
      <c r="B22" s="131">
        <v>0</v>
      </c>
      <c r="C22" s="132">
        <v>0</v>
      </c>
      <c r="D22" s="132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2">
        <v>0</v>
      </c>
      <c r="K22" s="132">
        <v>151.68</v>
      </c>
      <c r="L22" s="132">
        <v>0</v>
      </c>
      <c r="M22" s="132">
        <v>0</v>
      </c>
      <c r="N22" s="132">
        <v>0</v>
      </c>
      <c r="O22" s="132">
        <v>6671.01</v>
      </c>
      <c r="P22" s="132">
        <v>0</v>
      </c>
      <c r="Q22" s="132">
        <v>0</v>
      </c>
      <c r="R22" s="139">
        <f t="shared" si="2"/>
        <v>6822.6900000000005</v>
      </c>
      <c r="S22" s="130">
        <f t="shared" si="1"/>
        <v>1.0304340744071242E-2</v>
      </c>
      <c r="T22" s="132">
        <v>5156.51</v>
      </c>
      <c r="U22" s="129">
        <f t="shared" si="3"/>
        <v>1666.1800000000003</v>
      </c>
    </row>
    <row r="23" spans="1:21" ht="15.75" thickBot="1" x14ac:dyDescent="0.3">
      <c r="A23" s="55" t="s">
        <v>70</v>
      </c>
      <c r="B23" s="131">
        <v>0</v>
      </c>
      <c r="C23" s="132">
        <v>0</v>
      </c>
      <c r="D23" s="132">
        <v>0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2">
        <v>14729.98</v>
      </c>
      <c r="L23" s="132">
        <v>0</v>
      </c>
      <c r="M23" s="132">
        <v>0</v>
      </c>
      <c r="N23" s="132">
        <v>0</v>
      </c>
      <c r="O23" s="132">
        <v>0</v>
      </c>
      <c r="P23" s="132">
        <v>0</v>
      </c>
      <c r="Q23" s="132">
        <v>0</v>
      </c>
      <c r="R23" s="139">
        <f t="shared" si="2"/>
        <v>14729.98</v>
      </c>
      <c r="S23" s="130">
        <f t="shared" si="1"/>
        <v>2.2246757961061472E-2</v>
      </c>
      <c r="T23" s="132">
        <v>17466.990000000002</v>
      </c>
      <c r="U23" s="129">
        <f t="shared" si="3"/>
        <v>-2737.010000000002</v>
      </c>
    </row>
    <row r="24" spans="1:21" ht="15.75" thickBot="1" x14ac:dyDescent="0.3">
      <c r="A24" s="55" t="s">
        <v>71</v>
      </c>
      <c r="B24" s="131">
        <v>0</v>
      </c>
      <c r="C24" s="132">
        <v>1076.5999999999999</v>
      </c>
      <c r="D24" s="132">
        <v>0</v>
      </c>
      <c r="E24" s="132">
        <v>0</v>
      </c>
      <c r="F24" s="132">
        <v>0</v>
      </c>
      <c r="G24" s="132">
        <v>0</v>
      </c>
      <c r="H24" s="132">
        <v>0</v>
      </c>
      <c r="I24" s="132">
        <v>0</v>
      </c>
      <c r="J24" s="132">
        <v>0</v>
      </c>
      <c r="K24" s="132">
        <v>271</v>
      </c>
      <c r="L24" s="132">
        <v>0</v>
      </c>
      <c r="M24" s="132">
        <v>0</v>
      </c>
      <c r="N24" s="132">
        <v>0</v>
      </c>
      <c r="O24" s="132">
        <v>0</v>
      </c>
      <c r="P24" s="132">
        <v>0</v>
      </c>
      <c r="Q24" s="132">
        <v>0</v>
      </c>
      <c r="R24" s="139">
        <f t="shared" si="2"/>
        <v>1347.6</v>
      </c>
      <c r="S24" s="130">
        <f t="shared" si="1"/>
        <v>2.0352866078790629E-3</v>
      </c>
      <c r="T24" s="132">
        <v>8003.55</v>
      </c>
      <c r="U24" s="129">
        <f t="shared" si="3"/>
        <v>-6655.9500000000007</v>
      </c>
    </row>
    <row r="25" spans="1:21" s="47" customFormat="1" ht="15.75" thickBot="1" x14ac:dyDescent="0.3">
      <c r="A25" s="55" t="s">
        <v>196</v>
      </c>
      <c r="B25" s="131">
        <v>0</v>
      </c>
      <c r="C25" s="132">
        <v>0</v>
      </c>
      <c r="D25" s="132">
        <v>0</v>
      </c>
      <c r="E25" s="132">
        <v>0</v>
      </c>
      <c r="F25" s="132">
        <v>0</v>
      </c>
      <c r="G25" s="132">
        <v>0</v>
      </c>
      <c r="H25" s="132">
        <v>0</v>
      </c>
      <c r="I25" s="132">
        <v>0</v>
      </c>
      <c r="J25" s="132">
        <v>0</v>
      </c>
      <c r="K25" s="132">
        <v>0</v>
      </c>
      <c r="L25" s="132">
        <v>0</v>
      </c>
      <c r="M25" s="132">
        <v>0</v>
      </c>
      <c r="N25" s="132">
        <v>569.6</v>
      </c>
      <c r="O25" s="132">
        <v>0</v>
      </c>
      <c r="P25" s="132">
        <v>0</v>
      </c>
      <c r="Q25" s="132">
        <v>0</v>
      </c>
      <c r="R25" s="139">
        <f t="shared" si="2"/>
        <v>569.6</v>
      </c>
      <c r="S25" s="130">
        <f t="shared" si="1"/>
        <v>8.602695546511683E-4</v>
      </c>
      <c r="T25" s="132">
        <v>0</v>
      </c>
      <c r="U25" s="129">
        <f t="shared" si="3"/>
        <v>569.6</v>
      </c>
    </row>
    <row r="26" spans="1:21" ht="15.75" thickBot="1" x14ac:dyDescent="0.3">
      <c r="A26" s="55" t="s">
        <v>72</v>
      </c>
      <c r="B26" s="131">
        <v>0</v>
      </c>
      <c r="C26" s="132">
        <v>0</v>
      </c>
      <c r="D26" s="132">
        <v>0</v>
      </c>
      <c r="E26" s="132">
        <v>0</v>
      </c>
      <c r="F26" s="132">
        <v>0</v>
      </c>
      <c r="G26" s="132">
        <v>0</v>
      </c>
      <c r="H26" s="132">
        <v>0</v>
      </c>
      <c r="I26" s="132">
        <v>0</v>
      </c>
      <c r="J26" s="132">
        <v>0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69657.5</v>
      </c>
      <c r="Q26" s="132">
        <v>15645</v>
      </c>
      <c r="R26" s="139">
        <f t="shared" si="2"/>
        <v>85302.5</v>
      </c>
      <c r="S26" s="130">
        <f t="shared" si="1"/>
        <v>0.1288327663020212</v>
      </c>
      <c r="T26" s="132">
        <v>31940</v>
      </c>
      <c r="U26" s="129">
        <f t="shared" si="3"/>
        <v>53362.5</v>
      </c>
    </row>
    <row r="27" spans="1:21" ht="15.75" thickBot="1" x14ac:dyDescent="0.3">
      <c r="A27" s="55" t="s">
        <v>73</v>
      </c>
      <c r="B27" s="131">
        <v>0</v>
      </c>
      <c r="C27" s="132">
        <v>7023.83</v>
      </c>
      <c r="D27" s="132">
        <v>0</v>
      </c>
      <c r="E27" s="132">
        <v>0</v>
      </c>
      <c r="F27" s="132">
        <v>0</v>
      </c>
      <c r="G27" s="132">
        <v>1191.1400000000001</v>
      </c>
      <c r="H27" s="132">
        <v>0</v>
      </c>
      <c r="I27" s="132">
        <v>0</v>
      </c>
      <c r="J27" s="132">
        <v>0</v>
      </c>
      <c r="K27" s="132">
        <v>7450.26</v>
      </c>
      <c r="L27" s="132">
        <v>252.16</v>
      </c>
      <c r="M27" s="132">
        <v>1211.18</v>
      </c>
      <c r="N27" s="132">
        <v>0</v>
      </c>
      <c r="O27" s="132">
        <v>329.01</v>
      </c>
      <c r="P27" s="132">
        <v>1521.91</v>
      </c>
      <c r="Q27" s="132">
        <v>0</v>
      </c>
      <c r="R27" s="139">
        <f t="shared" si="2"/>
        <v>18979.489999999998</v>
      </c>
      <c r="S27" s="130">
        <f t="shared" si="1"/>
        <v>2.866481286833971E-2</v>
      </c>
      <c r="T27" s="132">
        <v>16315.81</v>
      </c>
      <c r="U27" s="129">
        <f t="shared" si="3"/>
        <v>2663.6799999999985</v>
      </c>
    </row>
    <row r="28" spans="1:21" s="117" customFormat="1" ht="15.75" thickBot="1" x14ac:dyDescent="0.3">
      <c r="A28" s="55" t="s">
        <v>197</v>
      </c>
      <c r="B28" s="131">
        <v>0</v>
      </c>
      <c r="C28" s="132">
        <v>500</v>
      </c>
      <c r="D28" s="132">
        <v>0</v>
      </c>
      <c r="E28" s="132">
        <v>0</v>
      </c>
      <c r="F28" s="132">
        <v>0</v>
      </c>
      <c r="G28" s="132">
        <v>0</v>
      </c>
      <c r="H28" s="132">
        <v>0</v>
      </c>
      <c r="I28" s="132">
        <v>0</v>
      </c>
      <c r="J28" s="132">
        <v>0</v>
      </c>
      <c r="K28" s="132">
        <v>0</v>
      </c>
      <c r="L28" s="132">
        <v>0</v>
      </c>
      <c r="M28" s="132">
        <v>0</v>
      </c>
      <c r="N28" s="132">
        <v>0</v>
      </c>
      <c r="O28" s="132">
        <v>0</v>
      </c>
      <c r="P28" s="132">
        <v>0</v>
      </c>
      <c r="Q28" s="132">
        <v>0</v>
      </c>
      <c r="R28" s="139">
        <f t="shared" si="2"/>
        <v>500</v>
      </c>
      <c r="S28" s="130">
        <f t="shared" si="1"/>
        <v>7.5515234783283733E-4</v>
      </c>
      <c r="T28" s="132">
        <v>500</v>
      </c>
      <c r="U28" s="129">
        <f t="shared" si="3"/>
        <v>0</v>
      </c>
    </row>
    <row r="29" spans="1:21" ht="15.75" thickBot="1" x14ac:dyDescent="0.3">
      <c r="A29" s="55" t="s">
        <v>74</v>
      </c>
      <c r="B29" s="131">
        <v>0</v>
      </c>
      <c r="C29" s="132">
        <v>0</v>
      </c>
      <c r="D29" s="132">
        <v>0</v>
      </c>
      <c r="E29" s="132">
        <v>0</v>
      </c>
      <c r="F29" s="132">
        <v>0</v>
      </c>
      <c r="G29" s="132">
        <v>0</v>
      </c>
      <c r="H29" s="132">
        <v>0</v>
      </c>
      <c r="I29" s="132">
        <v>0</v>
      </c>
      <c r="J29" s="132">
        <v>0</v>
      </c>
      <c r="K29" s="132">
        <v>75</v>
      </c>
      <c r="L29" s="132">
        <v>75</v>
      </c>
      <c r="M29" s="132">
        <v>170</v>
      </c>
      <c r="N29" s="132">
        <v>0</v>
      </c>
      <c r="O29" s="132">
        <v>0</v>
      </c>
      <c r="P29" s="132">
        <v>0</v>
      </c>
      <c r="Q29" s="132">
        <v>0</v>
      </c>
      <c r="R29" s="139">
        <f t="shared" si="2"/>
        <v>320</v>
      </c>
      <c r="S29" s="130">
        <f t="shared" si="1"/>
        <v>4.8329750261301587E-4</v>
      </c>
      <c r="T29" s="132">
        <v>395</v>
      </c>
      <c r="U29" s="129">
        <f t="shared" si="3"/>
        <v>-75</v>
      </c>
    </row>
    <row r="30" spans="1:21" ht="15.75" thickBot="1" x14ac:dyDescent="0.3">
      <c r="A30" s="55" t="s">
        <v>75</v>
      </c>
      <c r="B30" s="131">
        <v>0</v>
      </c>
      <c r="C30" s="132">
        <v>0</v>
      </c>
      <c r="D30" s="132">
        <v>0</v>
      </c>
      <c r="E30" s="132">
        <v>0</v>
      </c>
      <c r="F30" s="132">
        <v>0</v>
      </c>
      <c r="G30" s="132">
        <v>0</v>
      </c>
      <c r="H30" s="132">
        <v>0</v>
      </c>
      <c r="I30" s="132">
        <v>0</v>
      </c>
      <c r="J30" s="132">
        <v>0</v>
      </c>
      <c r="K30" s="132">
        <v>233.1</v>
      </c>
      <c r="L30" s="132">
        <v>224.25</v>
      </c>
      <c r="M30" s="132">
        <v>0</v>
      </c>
      <c r="N30" s="132">
        <v>0</v>
      </c>
      <c r="O30" s="132">
        <v>0</v>
      </c>
      <c r="P30" s="132">
        <v>0</v>
      </c>
      <c r="Q30" s="132">
        <v>0</v>
      </c>
      <c r="R30" s="139">
        <f t="shared" si="2"/>
        <v>457.35</v>
      </c>
      <c r="S30" s="130">
        <f t="shared" si="1"/>
        <v>6.907378525626963E-4</v>
      </c>
      <c r="T30" s="132">
        <v>1089.25</v>
      </c>
      <c r="U30" s="129">
        <f t="shared" si="3"/>
        <v>-631.9</v>
      </c>
    </row>
    <row r="31" spans="1:21" ht="15.75" thickBot="1" x14ac:dyDescent="0.3">
      <c r="A31" s="55" t="s">
        <v>76</v>
      </c>
      <c r="B31" s="131">
        <v>0</v>
      </c>
      <c r="C31" s="132">
        <v>2123.5</v>
      </c>
      <c r="D31" s="132">
        <v>0</v>
      </c>
      <c r="E31" s="132">
        <v>0</v>
      </c>
      <c r="F31" s="132">
        <v>0</v>
      </c>
      <c r="G31" s="132">
        <v>150</v>
      </c>
      <c r="H31" s="132">
        <v>0</v>
      </c>
      <c r="I31" s="132">
        <v>619</v>
      </c>
      <c r="J31" s="132">
        <v>0</v>
      </c>
      <c r="K31" s="132">
        <v>3560</v>
      </c>
      <c r="L31" s="132">
        <v>200</v>
      </c>
      <c r="M31" s="132">
        <v>309</v>
      </c>
      <c r="N31" s="132">
        <v>0</v>
      </c>
      <c r="O31" s="132">
        <v>0</v>
      </c>
      <c r="P31" s="132">
        <v>0</v>
      </c>
      <c r="Q31" s="132">
        <v>0</v>
      </c>
      <c r="R31" s="139">
        <f t="shared" si="2"/>
        <v>6961.5</v>
      </c>
      <c r="S31" s="130">
        <f t="shared" ref="S31:S37" si="6">IFERROR(R31/$R$46,"")</f>
        <v>1.0513986138876594E-2</v>
      </c>
      <c r="T31" s="132">
        <v>8696.7999999999993</v>
      </c>
      <c r="U31" s="129">
        <f t="shared" si="3"/>
        <v>-1735.2999999999993</v>
      </c>
    </row>
    <row r="32" spans="1:21" s="47" customFormat="1" ht="15.75" thickBot="1" x14ac:dyDescent="0.3">
      <c r="A32" s="55" t="s">
        <v>192</v>
      </c>
      <c r="B32" s="131">
        <v>0</v>
      </c>
      <c r="C32" s="132">
        <v>3617.4</v>
      </c>
      <c r="D32" s="132">
        <v>0</v>
      </c>
      <c r="E32" s="132">
        <v>0</v>
      </c>
      <c r="F32" s="132">
        <v>0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32">
        <v>0</v>
      </c>
      <c r="M32" s="132">
        <v>0</v>
      </c>
      <c r="N32" s="132">
        <v>0</v>
      </c>
      <c r="O32" s="132">
        <v>0</v>
      </c>
      <c r="P32" s="132">
        <v>0</v>
      </c>
      <c r="Q32" s="132">
        <v>0</v>
      </c>
      <c r="R32" s="139">
        <f t="shared" si="2"/>
        <v>3617.4</v>
      </c>
      <c r="S32" s="130">
        <f t="shared" si="6"/>
        <v>5.4633762061010111E-3</v>
      </c>
      <c r="T32" s="132">
        <v>0</v>
      </c>
      <c r="U32" s="129">
        <f t="shared" si="3"/>
        <v>3617.4</v>
      </c>
    </row>
    <row r="33" spans="1:21" ht="15.75" thickBot="1" x14ac:dyDescent="0.3">
      <c r="A33" s="55" t="s">
        <v>77</v>
      </c>
      <c r="B33" s="131">
        <v>0</v>
      </c>
      <c r="C33" s="132">
        <v>0</v>
      </c>
      <c r="D33" s="132">
        <v>0</v>
      </c>
      <c r="E33" s="132">
        <v>0</v>
      </c>
      <c r="F33" s="132">
        <v>0</v>
      </c>
      <c r="G33" s="132">
        <v>0</v>
      </c>
      <c r="H33" s="132">
        <v>0</v>
      </c>
      <c r="I33" s="132">
        <v>0</v>
      </c>
      <c r="J33" s="132">
        <v>0</v>
      </c>
      <c r="K33" s="132">
        <v>0</v>
      </c>
      <c r="L33" s="132">
        <v>0</v>
      </c>
      <c r="M33" s="132">
        <v>0</v>
      </c>
      <c r="N33" s="132">
        <v>0</v>
      </c>
      <c r="O33" s="132">
        <v>0</v>
      </c>
      <c r="P33" s="132">
        <v>4644</v>
      </c>
      <c r="Q33" s="132">
        <v>989</v>
      </c>
      <c r="R33" s="139">
        <f t="shared" si="2"/>
        <v>5633</v>
      </c>
      <c r="S33" s="130">
        <f t="shared" si="6"/>
        <v>8.5075463506847446E-3</v>
      </c>
      <c r="T33" s="132">
        <v>11108</v>
      </c>
      <c r="U33" s="129">
        <f t="shared" si="3"/>
        <v>-5475</v>
      </c>
    </row>
    <row r="34" spans="1:21" s="47" customFormat="1" ht="15.75" thickBot="1" x14ac:dyDescent="0.3">
      <c r="A34" s="55" t="s">
        <v>193</v>
      </c>
      <c r="B34" s="131">
        <v>0</v>
      </c>
      <c r="C34" s="132">
        <v>0</v>
      </c>
      <c r="D34" s="132">
        <v>0</v>
      </c>
      <c r="E34" s="132">
        <v>0</v>
      </c>
      <c r="F34" s="132">
        <v>0</v>
      </c>
      <c r="G34" s="132">
        <v>0</v>
      </c>
      <c r="H34" s="132">
        <v>0</v>
      </c>
      <c r="I34" s="132">
        <v>0</v>
      </c>
      <c r="J34" s="132">
        <v>0</v>
      </c>
      <c r="K34" s="132">
        <v>8835.75</v>
      </c>
      <c r="L34" s="132">
        <v>0</v>
      </c>
      <c r="M34" s="132">
        <v>0</v>
      </c>
      <c r="N34" s="132">
        <v>0</v>
      </c>
      <c r="O34" s="132">
        <v>0</v>
      </c>
      <c r="P34" s="132">
        <v>0</v>
      </c>
      <c r="Q34" s="132">
        <v>0</v>
      </c>
      <c r="R34" s="139">
        <f t="shared" si="2"/>
        <v>8835.75</v>
      </c>
      <c r="S34" s="130">
        <f t="shared" si="6"/>
        <v>1.3344674714727984E-2</v>
      </c>
      <c r="T34" s="132">
        <v>5128.92</v>
      </c>
      <c r="U34" s="129">
        <f t="shared" si="3"/>
        <v>3706.83</v>
      </c>
    </row>
    <row r="35" spans="1:21" s="47" customFormat="1" ht="15.75" thickBot="1" x14ac:dyDescent="0.3">
      <c r="A35" s="55" t="s">
        <v>194</v>
      </c>
      <c r="B35" s="131">
        <v>0</v>
      </c>
      <c r="C35" s="132">
        <v>0</v>
      </c>
      <c r="D35" s="132">
        <v>0</v>
      </c>
      <c r="E35" s="132">
        <v>0</v>
      </c>
      <c r="F35" s="132">
        <v>0</v>
      </c>
      <c r="G35" s="132">
        <v>0</v>
      </c>
      <c r="H35" s="132">
        <v>0</v>
      </c>
      <c r="I35" s="132">
        <v>0</v>
      </c>
      <c r="J35" s="132">
        <v>0</v>
      </c>
      <c r="K35" s="132">
        <v>0</v>
      </c>
      <c r="L35" s="132">
        <v>0</v>
      </c>
      <c r="M35" s="132">
        <v>997.5</v>
      </c>
      <c r="N35" s="132">
        <v>0</v>
      </c>
      <c r="O35" s="132">
        <v>0</v>
      </c>
      <c r="P35" s="132">
        <v>0</v>
      </c>
      <c r="Q35" s="132">
        <v>0</v>
      </c>
      <c r="R35" s="139">
        <f t="shared" si="2"/>
        <v>997.5</v>
      </c>
      <c r="S35" s="130">
        <f t="shared" si="6"/>
        <v>1.5065289339265104E-3</v>
      </c>
      <c r="T35" s="132">
        <v>0</v>
      </c>
      <c r="U35" s="129">
        <f t="shared" si="3"/>
        <v>997.5</v>
      </c>
    </row>
    <row r="36" spans="1:21" ht="15.75" thickBot="1" x14ac:dyDescent="0.3">
      <c r="A36" s="55" t="s">
        <v>78</v>
      </c>
      <c r="B36" s="131">
        <v>0</v>
      </c>
      <c r="C36" s="132">
        <v>0</v>
      </c>
      <c r="D36" s="132">
        <v>0</v>
      </c>
      <c r="E36" s="132">
        <v>0</v>
      </c>
      <c r="F36" s="132">
        <v>0</v>
      </c>
      <c r="G36" s="132">
        <v>0</v>
      </c>
      <c r="H36" s="132">
        <v>0</v>
      </c>
      <c r="I36" s="132">
        <v>0</v>
      </c>
      <c r="J36" s="132">
        <v>0</v>
      </c>
      <c r="K36" s="132">
        <v>0</v>
      </c>
      <c r="L36" s="132">
        <v>0</v>
      </c>
      <c r="M36" s="132">
        <v>739.12</v>
      </c>
      <c r="N36" s="132">
        <v>0</v>
      </c>
      <c r="O36" s="132">
        <v>0</v>
      </c>
      <c r="P36" s="132">
        <v>0</v>
      </c>
      <c r="Q36" s="132">
        <v>0</v>
      </c>
      <c r="R36" s="139">
        <f t="shared" si="2"/>
        <v>739.12</v>
      </c>
      <c r="S36" s="130">
        <f t="shared" si="6"/>
        <v>1.1162964066604134E-3</v>
      </c>
      <c r="T36" s="132">
        <v>0</v>
      </c>
      <c r="U36" s="129">
        <f t="shared" si="3"/>
        <v>739.12</v>
      </c>
    </row>
    <row r="37" spans="1:21" ht="15.75" thickBot="1" x14ac:dyDescent="0.3">
      <c r="A37" s="55" t="s">
        <v>79</v>
      </c>
      <c r="B37" s="131">
        <v>0</v>
      </c>
      <c r="C37" s="132">
        <v>0</v>
      </c>
      <c r="D37" s="132">
        <v>0</v>
      </c>
      <c r="E37" s="132">
        <v>0</v>
      </c>
      <c r="F37" s="132">
        <v>177849.55</v>
      </c>
      <c r="G37" s="132">
        <v>0</v>
      </c>
      <c r="H37" s="132">
        <v>0</v>
      </c>
      <c r="I37" s="132">
        <v>0</v>
      </c>
      <c r="J37" s="132">
        <v>0</v>
      </c>
      <c r="K37" s="132">
        <v>0</v>
      </c>
      <c r="L37" s="132">
        <v>0</v>
      </c>
      <c r="M37" s="132">
        <v>0</v>
      </c>
      <c r="N37" s="132">
        <v>0</v>
      </c>
      <c r="O37" s="132">
        <v>0</v>
      </c>
      <c r="P37" s="132">
        <v>0</v>
      </c>
      <c r="Q37" s="132">
        <v>0</v>
      </c>
      <c r="R37" s="139">
        <f t="shared" si="2"/>
        <v>177849.55</v>
      </c>
      <c r="S37" s="130">
        <f t="shared" si="6"/>
        <v>0.26860701048702718</v>
      </c>
      <c r="T37" s="132">
        <v>282285.71000000002</v>
      </c>
      <c r="U37" s="129">
        <f t="shared" si="3"/>
        <v>-104436.16000000003</v>
      </c>
    </row>
    <row r="38" spans="1:21" s="47" customFormat="1" ht="15.75" thickBot="1" x14ac:dyDescent="0.3">
      <c r="A38" s="55" t="s">
        <v>191</v>
      </c>
      <c r="B38" s="131">
        <v>0</v>
      </c>
      <c r="C38" s="132">
        <v>6610.17</v>
      </c>
      <c r="D38" s="132">
        <v>0</v>
      </c>
      <c r="E38" s="132">
        <v>0</v>
      </c>
      <c r="F38" s="132">
        <v>0</v>
      </c>
      <c r="G38" s="132">
        <v>0</v>
      </c>
      <c r="H38" s="132">
        <v>0</v>
      </c>
      <c r="I38" s="132">
        <v>0</v>
      </c>
      <c r="J38" s="132">
        <v>0</v>
      </c>
      <c r="K38" s="132">
        <v>10000</v>
      </c>
      <c r="L38" s="132">
        <v>0</v>
      </c>
      <c r="M38" s="132">
        <v>0</v>
      </c>
      <c r="N38" s="132">
        <v>0</v>
      </c>
      <c r="O38" s="132">
        <v>0</v>
      </c>
      <c r="P38" s="132">
        <v>3500</v>
      </c>
      <c r="Q38" s="132">
        <v>0</v>
      </c>
      <c r="R38" s="139">
        <f t="shared" si="2"/>
        <v>20110.169999999998</v>
      </c>
      <c r="S38" s="130">
        <f t="shared" ref="S38:S45" si="7">IFERROR(R38/$R$46,"")</f>
        <v>3.0372484181634976E-2</v>
      </c>
      <c r="T38" s="132">
        <v>0</v>
      </c>
      <c r="U38" s="129">
        <f t="shared" si="3"/>
        <v>20110.169999999998</v>
      </c>
    </row>
    <row r="39" spans="1:21" ht="15.75" thickBot="1" x14ac:dyDescent="0.3">
      <c r="A39" s="55" t="s">
        <v>80</v>
      </c>
      <c r="B39" s="131">
        <v>0</v>
      </c>
      <c r="C39" s="132">
        <v>0</v>
      </c>
      <c r="D39" s="132">
        <v>0</v>
      </c>
      <c r="E39" s="132">
        <v>0</v>
      </c>
      <c r="F39" s="132">
        <v>0</v>
      </c>
      <c r="G39" s="132">
        <v>0</v>
      </c>
      <c r="H39" s="132">
        <v>0</v>
      </c>
      <c r="I39" s="132">
        <v>0</v>
      </c>
      <c r="J39" s="132">
        <v>0</v>
      </c>
      <c r="K39" s="132">
        <v>6437</v>
      </c>
      <c r="L39" s="132">
        <v>0</v>
      </c>
      <c r="M39" s="132">
        <v>0</v>
      </c>
      <c r="N39" s="132">
        <v>0</v>
      </c>
      <c r="O39" s="132">
        <v>0</v>
      </c>
      <c r="P39" s="132">
        <v>0</v>
      </c>
      <c r="Q39" s="132">
        <v>0</v>
      </c>
      <c r="R39" s="139">
        <f t="shared" si="2"/>
        <v>6437</v>
      </c>
      <c r="S39" s="130">
        <f t="shared" si="7"/>
        <v>9.7218313259999477E-3</v>
      </c>
      <c r="T39" s="132">
        <v>6587</v>
      </c>
      <c r="U39" s="129">
        <f t="shared" si="3"/>
        <v>-150</v>
      </c>
    </row>
    <row r="40" spans="1:21" ht="15.75" thickBot="1" x14ac:dyDescent="0.3">
      <c r="A40" s="55" t="s">
        <v>81</v>
      </c>
      <c r="B40" s="131">
        <v>0</v>
      </c>
      <c r="C40" s="132">
        <v>0</v>
      </c>
      <c r="D40" s="132">
        <v>0</v>
      </c>
      <c r="E40" s="132">
        <v>0</v>
      </c>
      <c r="F40" s="132">
        <v>42562.8</v>
      </c>
      <c r="G40" s="132">
        <v>0</v>
      </c>
      <c r="H40" s="132">
        <v>0</v>
      </c>
      <c r="I40" s="132">
        <v>48700.89</v>
      </c>
      <c r="J40" s="132">
        <v>0</v>
      </c>
      <c r="K40" s="132">
        <v>0</v>
      </c>
      <c r="L40" s="132">
        <v>0</v>
      </c>
      <c r="M40" s="132">
        <v>0</v>
      </c>
      <c r="N40" s="132">
        <v>0</v>
      </c>
      <c r="O40" s="132">
        <v>0</v>
      </c>
      <c r="P40" s="132">
        <v>0</v>
      </c>
      <c r="Q40" s="132">
        <v>0</v>
      </c>
      <c r="R40" s="139">
        <f t="shared" si="2"/>
        <v>91263.69</v>
      </c>
      <c r="S40" s="130">
        <f t="shared" si="7"/>
        <v>0.13783597955077648</v>
      </c>
      <c r="T40" s="132">
        <v>70024.320000000007</v>
      </c>
      <c r="U40" s="129">
        <f t="shared" si="3"/>
        <v>21239.369999999995</v>
      </c>
    </row>
    <row r="41" spans="1:21" ht="15.75" thickBot="1" x14ac:dyDescent="0.3">
      <c r="A41" s="55" t="s">
        <v>82</v>
      </c>
      <c r="B41" s="131">
        <v>0</v>
      </c>
      <c r="C41" s="132">
        <v>2266.0500000000002</v>
      </c>
      <c r="D41" s="132">
        <v>0</v>
      </c>
      <c r="E41" s="132">
        <v>0</v>
      </c>
      <c r="F41" s="132">
        <v>0</v>
      </c>
      <c r="G41" s="132">
        <v>0</v>
      </c>
      <c r="H41" s="132">
        <v>0</v>
      </c>
      <c r="I41" s="132">
        <v>0</v>
      </c>
      <c r="J41" s="132">
        <v>0</v>
      </c>
      <c r="K41" s="132">
        <v>0</v>
      </c>
      <c r="L41" s="132">
        <v>0</v>
      </c>
      <c r="M41" s="132">
        <v>0</v>
      </c>
      <c r="N41" s="132">
        <v>588.64</v>
      </c>
      <c r="O41" s="132">
        <v>0</v>
      </c>
      <c r="P41" s="132">
        <v>2266.46</v>
      </c>
      <c r="Q41" s="132">
        <v>0</v>
      </c>
      <c r="R41" s="139">
        <f t="shared" si="2"/>
        <v>5121.1499999999996</v>
      </c>
      <c r="S41" s="130">
        <f t="shared" si="7"/>
        <v>7.7344968922082686E-3</v>
      </c>
      <c r="T41" s="132">
        <v>1696.21</v>
      </c>
      <c r="U41" s="129">
        <f t="shared" si="3"/>
        <v>3424.9399999999996</v>
      </c>
    </row>
    <row r="42" spans="1:21" ht="15.75" thickBot="1" x14ac:dyDescent="0.3">
      <c r="A42" s="55" t="s">
        <v>83</v>
      </c>
      <c r="B42" s="131">
        <v>1754</v>
      </c>
      <c r="C42" s="132">
        <v>2398.5</v>
      </c>
      <c r="D42" s="132">
        <v>256.3</v>
      </c>
      <c r="E42" s="132">
        <v>89</v>
      </c>
      <c r="F42" s="132">
        <v>0</v>
      </c>
      <c r="G42" s="132">
        <v>0</v>
      </c>
      <c r="H42" s="132">
        <v>0</v>
      </c>
      <c r="I42" s="132">
        <v>0</v>
      </c>
      <c r="J42" s="132">
        <v>0</v>
      </c>
      <c r="K42" s="132">
        <v>0</v>
      </c>
      <c r="L42" s="132">
        <v>0</v>
      </c>
      <c r="M42" s="132">
        <v>0</v>
      </c>
      <c r="N42" s="132">
        <v>0</v>
      </c>
      <c r="O42" s="132">
        <v>0</v>
      </c>
      <c r="P42" s="132">
        <v>0</v>
      </c>
      <c r="Q42" s="132">
        <v>0</v>
      </c>
      <c r="R42" s="139">
        <f t="shared" si="2"/>
        <v>4497.8</v>
      </c>
      <c r="S42" s="130">
        <f t="shared" si="7"/>
        <v>6.7930484601650713E-3</v>
      </c>
      <c r="T42" s="132">
        <v>5392.8</v>
      </c>
      <c r="U42" s="129">
        <f t="shared" si="3"/>
        <v>-895</v>
      </c>
    </row>
    <row r="43" spans="1:21" ht="15.75" thickBot="1" x14ac:dyDescent="0.3">
      <c r="A43" s="55" t="s">
        <v>84</v>
      </c>
      <c r="B43" s="131">
        <v>0</v>
      </c>
      <c r="C43" s="132">
        <v>0</v>
      </c>
      <c r="D43" s="132">
        <v>0</v>
      </c>
      <c r="E43" s="132">
        <v>0</v>
      </c>
      <c r="F43" s="132">
        <v>0</v>
      </c>
      <c r="G43" s="132">
        <v>0</v>
      </c>
      <c r="H43" s="132">
        <v>0</v>
      </c>
      <c r="I43" s="132">
        <v>0</v>
      </c>
      <c r="J43" s="132">
        <v>0</v>
      </c>
      <c r="K43" s="132">
        <v>26067.94</v>
      </c>
      <c r="L43" s="132">
        <v>0</v>
      </c>
      <c r="M43" s="132">
        <v>8223.1299999999992</v>
      </c>
      <c r="N43" s="132">
        <v>286</v>
      </c>
      <c r="O43" s="132">
        <v>0</v>
      </c>
      <c r="P43" s="132">
        <v>2162.88</v>
      </c>
      <c r="Q43" s="132">
        <v>7793.69</v>
      </c>
      <c r="R43" s="139">
        <f t="shared" si="2"/>
        <v>44533.64</v>
      </c>
      <c r="S43" s="130">
        <f t="shared" si="7"/>
        <v>6.7259365607084717E-2</v>
      </c>
      <c r="T43" s="132">
        <v>70614.509999999995</v>
      </c>
      <c r="U43" s="129">
        <f t="shared" si="3"/>
        <v>-26080.869999999995</v>
      </c>
    </row>
    <row r="44" spans="1:21" s="117" customFormat="1" ht="15.75" thickBot="1" x14ac:dyDescent="0.3">
      <c r="A44" s="55" t="s">
        <v>199</v>
      </c>
      <c r="B44" s="131">
        <v>0</v>
      </c>
      <c r="C44" s="132">
        <v>0</v>
      </c>
      <c r="D44" s="132">
        <v>0</v>
      </c>
      <c r="E44" s="132">
        <v>0</v>
      </c>
      <c r="F44" s="132">
        <v>0</v>
      </c>
      <c r="G44" s="132">
        <v>0</v>
      </c>
      <c r="H44" s="132">
        <v>0</v>
      </c>
      <c r="I44" s="132">
        <v>0</v>
      </c>
      <c r="J44" s="132">
        <v>0</v>
      </c>
      <c r="K44" s="132">
        <v>0</v>
      </c>
      <c r="L44" s="132">
        <v>0</v>
      </c>
      <c r="M44" s="132">
        <v>0</v>
      </c>
      <c r="N44" s="132">
        <v>0</v>
      </c>
      <c r="O44" s="132">
        <v>0</v>
      </c>
      <c r="P44" s="132">
        <v>0</v>
      </c>
      <c r="Q44" s="132">
        <v>0</v>
      </c>
      <c r="R44" s="139">
        <f t="shared" ref="R44" si="8">SUM(B44:Q44)</f>
        <v>0</v>
      </c>
      <c r="S44" s="130">
        <f t="shared" si="7"/>
        <v>0</v>
      </c>
      <c r="T44" s="132">
        <v>41.3</v>
      </c>
      <c r="U44" s="129">
        <f t="shared" ref="U44" si="9">R44-T44</f>
        <v>-41.3</v>
      </c>
    </row>
    <row r="45" spans="1:21" s="47" customFormat="1" x14ac:dyDescent="0.25">
      <c r="A45" s="118" t="s">
        <v>190</v>
      </c>
      <c r="B45" s="135">
        <v>0</v>
      </c>
      <c r="C45" s="136">
        <v>50</v>
      </c>
      <c r="D45" s="136">
        <v>0</v>
      </c>
      <c r="E45" s="136">
        <v>0</v>
      </c>
      <c r="F45" s="136">
        <v>0</v>
      </c>
      <c r="G45" s="136">
        <v>0</v>
      </c>
      <c r="H45" s="136">
        <v>0</v>
      </c>
      <c r="I45" s="136">
        <v>0</v>
      </c>
      <c r="J45" s="136">
        <v>0</v>
      </c>
      <c r="K45" s="136">
        <v>0</v>
      </c>
      <c r="L45" s="136">
        <v>0</v>
      </c>
      <c r="M45" s="136">
        <v>0</v>
      </c>
      <c r="N45" s="136">
        <v>0</v>
      </c>
      <c r="O45" s="136">
        <v>0</v>
      </c>
      <c r="P45" s="136">
        <v>0</v>
      </c>
      <c r="Q45" s="136">
        <v>0</v>
      </c>
      <c r="R45" s="140">
        <f t="shared" si="2"/>
        <v>50</v>
      </c>
      <c r="S45" s="130">
        <f t="shared" si="7"/>
        <v>7.5515234783283728E-5</v>
      </c>
      <c r="T45" s="132">
        <v>0</v>
      </c>
      <c r="U45" s="128">
        <f t="shared" si="3"/>
        <v>50</v>
      </c>
    </row>
    <row r="46" spans="1:21" x14ac:dyDescent="0.25">
      <c r="A46" s="70" t="s">
        <v>44</v>
      </c>
      <c r="B46" s="137">
        <f>SUM(B4:B45)</f>
        <v>17806.400000000001</v>
      </c>
      <c r="C46" s="137">
        <f t="shared" ref="C46:Q46" si="10">SUM(C4:C45)</f>
        <v>58620.790000000008</v>
      </c>
      <c r="D46" s="137">
        <f t="shared" si="10"/>
        <v>1543.3</v>
      </c>
      <c r="E46" s="137">
        <f t="shared" si="10"/>
        <v>843.5</v>
      </c>
      <c r="F46" s="137">
        <f t="shared" si="10"/>
        <v>220412.34999999998</v>
      </c>
      <c r="G46" s="137">
        <f t="shared" si="10"/>
        <v>1341.14</v>
      </c>
      <c r="H46" s="137">
        <f t="shared" si="10"/>
        <v>1132.45</v>
      </c>
      <c r="I46" s="137">
        <f t="shared" si="10"/>
        <v>63700.85</v>
      </c>
      <c r="J46" s="137">
        <f t="shared" si="10"/>
        <v>200</v>
      </c>
      <c r="K46" s="137">
        <f t="shared" si="10"/>
        <v>113424.16</v>
      </c>
      <c r="L46" s="137">
        <f t="shared" si="10"/>
        <v>751.41</v>
      </c>
      <c r="M46" s="137">
        <f t="shared" si="10"/>
        <v>41399.43</v>
      </c>
      <c r="N46" s="137">
        <f t="shared" si="10"/>
        <v>1935.3400000000001</v>
      </c>
      <c r="O46" s="137">
        <f t="shared" si="10"/>
        <v>7300.02</v>
      </c>
      <c r="P46" s="137">
        <f t="shared" si="10"/>
        <v>91971.570000000022</v>
      </c>
      <c r="Q46" s="137">
        <f t="shared" si="10"/>
        <v>39735.340000000004</v>
      </c>
      <c r="R46" s="137">
        <f>SUM(R4:R45)</f>
        <v>662118.05000000005</v>
      </c>
      <c r="S46" s="81">
        <v>1</v>
      </c>
      <c r="T46" s="137">
        <f>SUM(T4:T45)</f>
        <v>667869.15000000014</v>
      </c>
      <c r="U46" s="137">
        <f>R46-T46</f>
        <v>-5751.1000000000931</v>
      </c>
    </row>
    <row r="47" spans="1:21" ht="15.75" thickBot="1" x14ac:dyDescent="0.3">
      <c r="A47" s="61" t="s">
        <v>87</v>
      </c>
      <c r="B47" s="112">
        <f>IFERROR(B46/$R$46,"")</f>
        <v>2.689308953290127E-2</v>
      </c>
      <c r="C47" s="112">
        <f t="shared" ref="C47:R47" si="11">IFERROR(C46/$R$46,"")</f>
        <v>8.8535254400631438E-2</v>
      </c>
      <c r="D47" s="112">
        <f t="shared" si="11"/>
        <v>2.3308532368208354E-3</v>
      </c>
      <c r="E47" s="112">
        <f t="shared" si="11"/>
        <v>1.2739420107939965E-3</v>
      </c>
      <c r="F47" s="112">
        <f t="shared" si="11"/>
        <v>0.33288980718770611</v>
      </c>
      <c r="G47" s="112">
        <f t="shared" si="11"/>
        <v>2.0255300395450632E-3</v>
      </c>
      <c r="H47" s="112">
        <f t="shared" ref="H47" si="12">IFERROR(H46/$R$46,"")</f>
        <v>1.7103445526065932E-3</v>
      </c>
      <c r="I47" s="112">
        <f t="shared" si="11"/>
        <v>9.6207692872894782E-2</v>
      </c>
      <c r="J47" s="112">
        <f t="shared" ref="J47" si="13">IFERROR(J46/$R$46,"")</f>
        <v>3.0206093913313491E-4</v>
      </c>
      <c r="K47" s="112">
        <f t="shared" si="11"/>
        <v>0.1713050414499348</v>
      </c>
      <c r="L47" s="112">
        <f t="shared" si="11"/>
        <v>1.1348580513701446E-3</v>
      </c>
      <c r="M47" s="112">
        <f t="shared" si="11"/>
        <v>6.2525753526882402E-2</v>
      </c>
      <c r="N47" s="112">
        <f t="shared" ref="N47" si="14">IFERROR(N46/$R$46,"")</f>
        <v>2.9229530897096068E-3</v>
      </c>
      <c r="O47" s="112">
        <f t="shared" si="11"/>
        <v>1.1025254484453339E-2</v>
      </c>
      <c r="P47" s="112">
        <f t="shared" si="11"/>
        <v>0.13890509403874432</v>
      </c>
      <c r="Q47" s="112">
        <f t="shared" si="11"/>
        <v>6.0012470585872113E-2</v>
      </c>
      <c r="R47" s="144">
        <f t="shared" si="11"/>
        <v>1</v>
      </c>
      <c r="S47" s="62"/>
      <c r="T47" s="71"/>
      <c r="U47" s="62"/>
    </row>
    <row r="51" spans="1:14" ht="18.75" x14ac:dyDescent="0.25">
      <c r="A51" s="180" t="s">
        <v>277</v>
      </c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</row>
    <row r="52" spans="1:14" x14ac:dyDescent="0.25">
      <c r="A52" s="35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</row>
    <row r="53" spans="1:14" ht="104.25" customHeight="1" thickBot="1" x14ac:dyDescent="0.3">
      <c r="A53" s="48" t="s">
        <v>58</v>
      </c>
      <c r="B53" s="49" t="s">
        <v>7</v>
      </c>
      <c r="C53" s="49" t="s">
        <v>9</v>
      </c>
      <c r="D53" s="49" t="s">
        <v>49</v>
      </c>
      <c r="E53" s="49" t="s">
        <v>12</v>
      </c>
      <c r="F53" s="49" t="s">
        <v>53</v>
      </c>
      <c r="G53" s="49" t="s">
        <v>54</v>
      </c>
      <c r="H53" s="49" t="s">
        <v>13</v>
      </c>
      <c r="I53" s="49" t="s">
        <v>56</v>
      </c>
      <c r="J53" s="49" t="s">
        <v>57</v>
      </c>
      <c r="K53" s="126" t="s">
        <v>295</v>
      </c>
      <c r="L53" s="127" t="s">
        <v>45</v>
      </c>
      <c r="M53" s="126" t="s">
        <v>296</v>
      </c>
      <c r="N53" s="126" t="s">
        <v>291</v>
      </c>
    </row>
    <row r="54" spans="1:14" ht="15.75" thickBot="1" x14ac:dyDescent="0.3">
      <c r="A54" s="51" t="s">
        <v>88</v>
      </c>
      <c r="B54" s="52">
        <v>16619.22</v>
      </c>
      <c r="C54" s="52">
        <v>41324.07</v>
      </c>
      <c r="D54" s="52">
        <v>578.27</v>
      </c>
      <c r="E54" s="52">
        <v>12040.22</v>
      </c>
      <c r="F54" s="52">
        <v>243.03</v>
      </c>
      <c r="G54" s="52">
        <v>6427.51</v>
      </c>
      <c r="H54" s="52">
        <v>506.17</v>
      </c>
      <c r="I54" s="52">
        <v>10734.82</v>
      </c>
      <c r="J54" s="52">
        <v>2014.99</v>
      </c>
      <c r="K54" s="141">
        <f>SUM(B54:J54)</f>
        <v>90488.3</v>
      </c>
      <c r="L54" s="53">
        <f>IFERROR(K54/$K$58,"")</f>
        <v>0.84176791513733473</v>
      </c>
      <c r="M54" s="52">
        <v>70395.08</v>
      </c>
      <c r="N54" s="52">
        <f>K54-M54</f>
        <v>20093.22</v>
      </c>
    </row>
    <row r="55" spans="1:14" ht="15.75" thickBot="1" x14ac:dyDescent="0.3">
      <c r="A55" s="55" t="s">
        <v>89</v>
      </c>
      <c r="B55" s="52">
        <v>228.89</v>
      </c>
      <c r="C55" s="52">
        <v>0</v>
      </c>
      <c r="D55" s="52">
        <v>58.94</v>
      </c>
      <c r="E55" s="52">
        <v>1225.3800000000001</v>
      </c>
      <c r="F55" s="52">
        <v>0</v>
      </c>
      <c r="G55" s="52">
        <v>1640.29</v>
      </c>
      <c r="H55" s="52">
        <v>25.05</v>
      </c>
      <c r="I55" s="52">
        <v>1557.37</v>
      </c>
      <c r="J55" s="52">
        <v>989.13</v>
      </c>
      <c r="K55" s="141">
        <f>SUM(B55:J55)</f>
        <v>5725.05</v>
      </c>
      <c r="L55" s="53">
        <f>IFERROR(K55/$K$58,"")</f>
        <v>5.3257309536779873E-2</v>
      </c>
      <c r="M55" s="52">
        <v>4246.2800000000007</v>
      </c>
      <c r="N55" s="52">
        <f t="shared" ref="N55:N57" si="15">K55-M55</f>
        <v>1478.7699999999995</v>
      </c>
    </row>
    <row r="56" spans="1:14" ht="15.75" thickBot="1" x14ac:dyDescent="0.3">
      <c r="A56" s="56" t="s">
        <v>90</v>
      </c>
      <c r="B56" s="52">
        <v>2782.08</v>
      </c>
      <c r="C56" s="52">
        <v>0</v>
      </c>
      <c r="D56" s="52">
        <v>0</v>
      </c>
      <c r="E56" s="52">
        <v>1285.2</v>
      </c>
      <c r="F56" s="52">
        <v>0</v>
      </c>
      <c r="G56" s="52">
        <v>907.2</v>
      </c>
      <c r="H56" s="52">
        <v>604.79999999999995</v>
      </c>
      <c r="I56" s="52">
        <v>2903.04</v>
      </c>
      <c r="J56" s="52">
        <v>483.84</v>
      </c>
      <c r="K56" s="141">
        <f>SUM(B56:J56)</f>
        <v>8966.16</v>
      </c>
      <c r="L56" s="53">
        <f>IFERROR(K56/$K$58,"")</f>
        <v>8.3407753377925817E-2</v>
      </c>
      <c r="M56" s="52">
        <v>16692.48</v>
      </c>
      <c r="N56" s="52">
        <f t="shared" si="15"/>
        <v>-7726.32</v>
      </c>
    </row>
    <row r="57" spans="1:14" ht="15.75" thickBot="1" x14ac:dyDescent="0.3">
      <c r="A57" s="56" t="s">
        <v>91</v>
      </c>
      <c r="B57" s="52">
        <v>602.42999999999995</v>
      </c>
      <c r="C57" s="52">
        <v>0</v>
      </c>
      <c r="D57" s="52">
        <v>96.04</v>
      </c>
      <c r="E57" s="52">
        <v>481.32</v>
      </c>
      <c r="F57" s="52">
        <v>75.59</v>
      </c>
      <c r="G57" s="52">
        <v>0</v>
      </c>
      <c r="H57" s="52">
        <v>54.95</v>
      </c>
      <c r="I57" s="52">
        <v>644.19000000000005</v>
      </c>
      <c r="J57" s="52">
        <v>363.89</v>
      </c>
      <c r="K57" s="141">
        <f>SUM(B57:J57)</f>
        <v>2318.41</v>
      </c>
      <c r="L57" s="53">
        <f>IFERROR(K57/$K$58,"")</f>
        <v>2.1567021947959546E-2</v>
      </c>
      <c r="M57" s="52">
        <v>2286.65</v>
      </c>
      <c r="N57" s="52">
        <f t="shared" si="15"/>
        <v>31.759999999999764</v>
      </c>
    </row>
    <row r="58" spans="1:14" x14ac:dyDescent="0.25">
      <c r="A58" s="57" t="s">
        <v>44</v>
      </c>
      <c r="B58" s="58">
        <f t="shared" ref="B58:M58" si="16">SUM(B54:B57)</f>
        <v>20232.620000000003</v>
      </c>
      <c r="C58" s="58">
        <f t="shared" si="16"/>
        <v>41324.07</v>
      </c>
      <c r="D58" s="58">
        <f t="shared" si="16"/>
        <v>733.25</v>
      </c>
      <c r="E58" s="58">
        <f t="shared" si="16"/>
        <v>15032.119999999999</v>
      </c>
      <c r="F58" s="58">
        <f t="shared" si="16"/>
        <v>318.62</v>
      </c>
      <c r="G58" s="58">
        <f t="shared" si="16"/>
        <v>8975</v>
      </c>
      <c r="H58" s="58">
        <f t="shared" si="16"/>
        <v>1190.97</v>
      </c>
      <c r="I58" s="58">
        <f t="shared" si="16"/>
        <v>15839.42</v>
      </c>
      <c r="J58" s="58">
        <f t="shared" si="16"/>
        <v>3851.85</v>
      </c>
      <c r="K58" s="142">
        <f t="shared" si="16"/>
        <v>107497.92000000001</v>
      </c>
      <c r="L58" s="59">
        <v>1</v>
      </c>
      <c r="M58" s="64">
        <f t="shared" si="16"/>
        <v>93620.489999999991</v>
      </c>
      <c r="N58" s="65">
        <f>K58-M58</f>
        <v>13877.430000000022</v>
      </c>
    </row>
    <row r="59" spans="1:14" ht="15.75" thickBot="1" x14ac:dyDescent="0.3">
      <c r="A59" s="61" t="s">
        <v>87</v>
      </c>
      <c r="B59" s="53">
        <f t="shared" ref="B59:K59" si="17">IFERROR(B58/$K$58,"")</f>
        <v>0.18821406032786495</v>
      </c>
      <c r="C59" s="53">
        <f t="shared" si="17"/>
        <v>0.38441739151790094</v>
      </c>
      <c r="D59" s="53">
        <f t="shared" si="17"/>
        <v>6.8210622121804764E-3</v>
      </c>
      <c r="E59" s="53">
        <f t="shared" si="17"/>
        <v>0.13983638008995891</v>
      </c>
      <c r="F59" s="53">
        <f t="shared" si="17"/>
        <v>2.9639643260074237E-3</v>
      </c>
      <c r="G59" s="53">
        <f t="shared" si="17"/>
        <v>8.3489987527200521E-2</v>
      </c>
      <c r="H59" s="53">
        <f t="shared" si="17"/>
        <v>1.1079005063539833E-2</v>
      </c>
      <c r="I59" s="53">
        <f t="shared" si="17"/>
        <v>0.14734629283989864</v>
      </c>
      <c r="J59" s="53">
        <f t="shared" si="17"/>
        <v>3.5831856095448165E-2</v>
      </c>
      <c r="K59" s="143">
        <f t="shared" si="17"/>
        <v>1</v>
      </c>
      <c r="L59" s="62"/>
      <c r="M59" s="52"/>
      <c r="N59" s="62"/>
    </row>
    <row r="63" spans="1:14" ht="18.75" x14ac:dyDescent="0.25">
      <c r="A63" s="180" t="s">
        <v>305</v>
      </c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</row>
    <row r="64" spans="1:14" x14ac:dyDescent="0.25">
      <c r="A64" s="35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</row>
    <row r="65" spans="1:12" ht="84" thickBot="1" x14ac:dyDescent="0.3">
      <c r="A65" s="48" t="s">
        <v>58</v>
      </c>
      <c r="B65" s="49" t="s">
        <v>46</v>
      </c>
      <c r="C65" s="49" t="s">
        <v>9</v>
      </c>
      <c r="D65" s="49" t="s">
        <v>53</v>
      </c>
      <c r="E65" s="49" t="s">
        <v>54</v>
      </c>
      <c r="F65" s="49" t="s">
        <v>55</v>
      </c>
      <c r="G65" s="49" t="s">
        <v>56</v>
      </c>
      <c r="H65" s="49" t="s">
        <v>57</v>
      </c>
      <c r="I65" s="126" t="s">
        <v>295</v>
      </c>
      <c r="J65" s="127" t="s">
        <v>45</v>
      </c>
      <c r="K65" s="126" t="s">
        <v>296</v>
      </c>
      <c r="L65" s="126" t="s">
        <v>291</v>
      </c>
    </row>
    <row r="66" spans="1:12" ht="15.75" thickBot="1" x14ac:dyDescent="0.3">
      <c r="A66" s="51" t="s">
        <v>92</v>
      </c>
      <c r="B66" s="52">
        <v>12500</v>
      </c>
      <c r="C66" s="52">
        <v>0</v>
      </c>
      <c r="D66" s="52">
        <v>4000</v>
      </c>
      <c r="E66" s="52">
        <v>108000</v>
      </c>
      <c r="F66" s="52">
        <v>2488.9899999999998</v>
      </c>
      <c r="G66" s="52">
        <v>21840</v>
      </c>
      <c r="H66" s="52">
        <v>58481</v>
      </c>
      <c r="I66" s="141">
        <f>SUM(B66:H66)</f>
        <v>207309.99</v>
      </c>
      <c r="J66" s="53">
        <f>IFERROR(I66/$I$69,"")</f>
        <v>0.75861310982025831</v>
      </c>
      <c r="K66" s="52">
        <v>175269.72999999998</v>
      </c>
      <c r="L66" s="54">
        <f>I66-K66</f>
        <v>32040.260000000009</v>
      </c>
    </row>
    <row r="67" spans="1:12" ht="15.75" thickBot="1" x14ac:dyDescent="0.3">
      <c r="A67" s="55" t="s">
        <v>93</v>
      </c>
      <c r="B67" s="52">
        <v>32600</v>
      </c>
      <c r="C67" s="52">
        <v>0</v>
      </c>
      <c r="D67" s="52">
        <v>5000</v>
      </c>
      <c r="E67" s="52">
        <v>0</v>
      </c>
      <c r="F67" s="52">
        <v>0</v>
      </c>
      <c r="G67" s="52">
        <v>840</v>
      </c>
      <c r="H67" s="52">
        <v>0</v>
      </c>
      <c r="I67" s="141">
        <f>SUM(B67:H67)</f>
        <v>38440</v>
      </c>
      <c r="J67" s="53">
        <f t="shared" ref="J67:J68" si="18">IFERROR(I67/$I$69,"")</f>
        <v>0.14066417128036487</v>
      </c>
      <c r="K67" s="52">
        <v>18400</v>
      </c>
      <c r="L67" s="54">
        <f>I67-K67</f>
        <v>20040</v>
      </c>
    </row>
    <row r="68" spans="1:12" ht="15.75" thickBot="1" x14ac:dyDescent="0.3">
      <c r="A68" s="56" t="s">
        <v>94</v>
      </c>
      <c r="B68" s="52">
        <v>0</v>
      </c>
      <c r="C68" s="52">
        <v>27525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141">
        <f>SUM(B68:H68)</f>
        <v>27525</v>
      </c>
      <c r="J68" s="53">
        <f t="shared" si="18"/>
        <v>0.10072271889937678</v>
      </c>
      <c r="K68" s="52">
        <v>25675</v>
      </c>
      <c r="L68" s="54">
        <f t="shared" ref="L68" si="19">I68-K68</f>
        <v>1850</v>
      </c>
    </row>
    <row r="69" spans="1:12" x14ac:dyDescent="0.25">
      <c r="A69" s="57" t="s">
        <v>44</v>
      </c>
      <c r="B69" s="58">
        <f t="shared" ref="B69:K69" si="20">SUM(B66:B68)</f>
        <v>45100</v>
      </c>
      <c r="C69" s="58">
        <f t="shared" si="20"/>
        <v>27525</v>
      </c>
      <c r="D69" s="58">
        <f t="shared" si="20"/>
        <v>9000</v>
      </c>
      <c r="E69" s="58">
        <f t="shared" si="20"/>
        <v>108000</v>
      </c>
      <c r="F69" s="58">
        <f t="shared" si="20"/>
        <v>2488.9899999999998</v>
      </c>
      <c r="G69" s="58">
        <f t="shared" si="20"/>
        <v>22680</v>
      </c>
      <c r="H69" s="58">
        <f t="shared" si="20"/>
        <v>58481</v>
      </c>
      <c r="I69" s="142">
        <f t="shared" si="20"/>
        <v>273274.99</v>
      </c>
      <c r="J69" s="59">
        <v>1</v>
      </c>
      <c r="K69" s="58">
        <f t="shared" si="20"/>
        <v>219344.72999999998</v>
      </c>
      <c r="L69" s="60">
        <f>I69-K69</f>
        <v>53930.260000000009</v>
      </c>
    </row>
    <row r="70" spans="1:12" ht="15.75" thickBot="1" x14ac:dyDescent="0.3">
      <c r="A70" s="61" t="s">
        <v>87</v>
      </c>
      <c r="B70" s="53">
        <f>IFERROR(B69/$I$69,"")</f>
        <v>0.16503522697045933</v>
      </c>
      <c r="C70" s="53">
        <f t="shared" ref="C70:I70" si="21">IFERROR(C69/$I$69,"")</f>
        <v>0.10072271889937678</v>
      </c>
      <c r="D70" s="53">
        <f t="shared" si="21"/>
        <v>3.2933859040668159E-2</v>
      </c>
      <c r="E70" s="53">
        <f t="shared" si="21"/>
        <v>0.39520630848801791</v>
      </c>
      <c r="F70" s="53">
        <f t="shared" si="21"/>
        <v>9.1080050904036262E-3</v>
      </c>
      <c r="G70" s="53">
        <f t="shared" si="21"/>
        <v>8.2993324782483752E-2</v>
      </c>
      <c r="H70" s="53">
        <f t="shared" si="21"/>
        <v>0.2140005567285905</v>
      </c>
      <c r="I70" s="143">
        <f t="shared" si="21"/>
        <v>1</v>
      </c>
      <c r="J70" s="62"/>
      <c r="K70" s="52"/>
      <c r="L70" s="62"/>
    </row>
    <row r="71" spans="1:12" s="145" customFormat="1" x14ac:dyDescent="0.25">
      <c r="A71" s="158"/>
      <c r="B71" s="159"/>
      <c r="C71" s="159"/>
      <c r="D71" s="159"/>
      <c r="E71" s="159"/>
      <c r="F71" s="159"/>
      <c r="G71" s="159"/>
      <c r="H71" s="159"/>
      <c r="I71" s="160"/>
      <c r="J71" s="161"/>
      <c r="K71" s="162"/>
      <c r="L71" s="161"/>
    </row>
    <row r="72" spans="1:12" s="145" customFormat="1" x14ac:dyDescent="0.25">
      <c r="A72" s="158"/>
      <c r="B72" s="159"/>
      <c r="C72" s="159"/>
      <c r="D72" s="159"/>
      <c r="E72" s="159"/>
      <c r="F72" s="159"/>
      <c r="G72" s="159"/>
      <c r="H72" s="159"/>
      <c r="I72" s="160"/>
      <c r="J72" s="161"/>
      <c r="K72" s="162"/>
      <c r="L72" s="161"/>
    </row>
    <row r="74" spans="1:12" ht="18.75" x14ac:dyDescent="0.25">
      <c r="A74" s="180" t="s">
        <v>306</v>
      </c>
      <c r="B74" s="180"/>
      <c r="C74" s="180"/>
      <c r="D74" s="176"/>
      <c r="E74" s="149"/>
      <c r="F74" s="149"/>
      <c r="G74" s="149"/>
      <c r="H74" s="149"/>
      <c r="I74" s="149"/>
      <c r="J74" s="149"/>
      <c r="K74" s="149"/>
      <c r="L74" s="149"/>
    </row>
    <row r="75" spans="1:12" x14ac:dyDescent="0.25">
      <c r="A75" s="3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</row>
    <row r="76" spans="1:12" s="175" customFormat="1" ht="15.95" customHeight="1" x14ac:dyDescent="0.25">
      <c r="A76" s="174" t="s">
        <v>245</v>
      </c>
      <c r="B76" s="174" t="s">
        <v>44</v>
      </c>
    </row>
    <row r="77" spans="1:12" x14ac:dyDescent="0.25">
      <c r="A77" s="165" t="s">
        <v>246</v>
      </c>
      <c r="B77" s="166">
        <v>45100</v>
      </c>
    </row>
    <row r="78" spans="1:12" x14ac:dyDescent="0.25">
      <c r="A78" s="167" t="s">
        <v>275</v>
      </c>
      <c r="B78" s="168">
        <v>3000</v>
      </c>
    </row>
    <row r="79" spans="1:12" x14ac:dyDescent="0.25">
      <c r="A79" s="167" t="s">
        <v>278</v>
      </c>
      <c r="B79" s="168">
        <v>5000</v>
      </c>
    </row>
    <row r="80" spans="1:12" x14ac:dyDescent="0.25">
      <c r="A80" s="167" t="s">
        <v>264</v>
      </c>
      <c r="B80" s="168">
        <v>4500</v>
      </c>
    </row>
    <row r="81" spans="1:2" s="164" customFormat="1" ht="30" customHeight="1" x14ac:dyDescent="0.25">
      <c r="A81" s="169" t="s">
        <v>301</v>
      </c>
      <c r="B81" s="170">
        <v>32600</v>
      </c>
    </row>
    <row r="82" spans="1:2" x14ac:dyDescent="0.25">
      <c r="A82" s="165" t="s">
        <v>247</v>
      </c>
      <c r="B82" s="171">
        <v>27525</v>
      </c>
    </row>
    <row r="83" spans="1:2" x14ac:dyDescent="0.25">
      <c r="A83" s="172" t="s">
        <v>248</v>
      </c>
      <c r="B83" s="168">
        <v>27525</v>
      </c>
    </row>
    <row r="84" spans="1:2" x14ac:dyDescent="0.25">
      <c r="A84" s="165" t="s">
        <v>249</v>
      </c>
      <c r="B84" s="171">
        <v>9000</v>
      </c>
    </row>
    <row r="85" spans="1:2" x14ac:dyDescent="0.25">
      <c r="A85" s="167" t="s">
        <v>250</v>
      </c>
      <c r="B85" s="168">
        <v>4000</v>
      </c>
    </row>
    <row r="86" spans="1:2" s="164" customFormat="1" ht="30" customHeight="1" x14ac:dyDescent="0.25">
      <c r="A86" s="169" t="s">
        <v>300</v>
      </c>
      <c r="B86" s="168">
        <v>5000</v>
      </c>
    </row>
    <row r="87" spans="1:2" x14ac:dyDescent="0.25">
      <c r="A87" s="165" t="s">
        <v>251</v>
      </c>
      <c r="B87" s="171">
        <v>108000</v>
      </c>
    </row>
    <row r="88" spans="1:2" x14ac:dyDescent="0.25">
      <c r="A88" s="167" t="s">
        <v>274</v>
      </c>
      <c r="B88" s="168">
        <v>23300</v>
      </c>
    </row>
    <row r="89" spans="1:2" x14ac:dyDescent="0.25">
      <c r="A89" s="167" t="s">
        <v>266</v>
      </c>
      <c r="B89" s="168">
        <v>9700</v>
      </c>
    </row>
    <row r="90" spans="1:2" x14ac:dyDescent="0.25">
      <c r="A90" s="167" t="s">
        <v>273</v>
      </c>
      <c r="B90" s="168">
        <v>4750</v>
      </c>
    </row>
    <row r="91" spans="1:2" x14ac:dyDescent="0.25">
      <c r="A91" s="167" t="s">
        <v>267</v>
      </c>
      <c r="B91" s="168">
        <v>5120</v>
      </c>
    </row>
    <row r="92" spans="1:2" x14ac:dyDescent="0.25">
      <c r="A92" s="167" t="s">
        <v>252</v>
      </c>
      <c r="B92" s="168">
        <v>6000</v>
      </c>
    </row>
    <row r="93" spans="1:2" x14ac:dyDescent="0.25">
      <c r="A93" s="167" t="s">
        <v>253</v>
      </c>
      <c r="B93" s="168">
        <v>3450</v>
      </c>
    </row>
    <row r="94" spans="1:2" x14ac:dyDescent="0.25">
      <c r="A94" s="167" t="s">
        <v>268</v>
      </c>
      <c r="B94" s="168">
        <v>2600</v>
      </c>
    </row>
    <row r="95" spans="1:2" x14ac:dyDescent="0.25">
      <c r="A95" s="167" t="s">
        <v>269</v>
      </c>
      <c r="B95" s="168">
        <v>6080</v>
      </c>
    </row>
    <row r="96" spans="1:2" x14ac:dyDescent="0.25">
      <c r="A96" s="167" t="s">
        <v>254</v>
      </c>
      <c r="B96" s="168">
        <v>5600</v>
      </c>
    </row>
    <row r="97" spans="1:2" x14ac:dyDescent="0.25">
      <c r="A97" s="167" t="s">
        <v>270</v>
      </c>
      <c r="B97" s="168">
        <v>3900</v>
      </c>
    </row>
    <row r="98" spans="1:2" x14ac:dyDescent="0.25">
      <c r="A98" s="167" t="s">
        <v>271</v>
      </c>
      <c r="B98" s="168">
        <v>3650</v>
      </c>
    </row>
    <row r="99" spans="1:2" x14ac:dyDescent="0.25">
      <c r="A99" s="167" t="s">
        <v>255</v>
      </c>
      <c r="B99" s="168">
        <v>4500</v>
      </c>
    </row>
    <row r="100" spans="1:2" x14ac:dyDescent="0.25">
      <c r="A100" s="167" t="s">
        <v>256</v>
      </c>
      <c r="B100" s="168">
        <v>1200</v>
      </c>
    </row>
    <row r="101" spans="1:2" x14ac:dyDescent="0.25">
      <c r="A101" s="167" t="s">
        <v>257</v>
      </c>
      <c r="B101" s="168">
        <v>3750</v>
      </c>
    </row>
    <row r="102" spans="1:2" x14ac:dyDescent="0.25">
      <c r="A102" s="167" t="s">
        <v>258</v>
      </c>
      <c r="B102" s="168">
        <v>2850</v>
      </c>
    </row>
    <row r="103" spans="1:2" x14ac:dyDescent="0.25">
      <c r="A103" s="167" t="s">
        <v>259</v>
      </c>
      <c r="B103" s="168">
        <v>9850</v>
      </c>
    </row>
    <row r="104" spans="1:2" x14ac:dyDescent="0.25">
      <c r="A104" s="167" t="s">
        <v>272</v>
      </c>
      <c r="B104" s="168">
        <v>9900</v>
      </c>
    </row>
    <row r="105" spans="1:2" x14ac:dyDescent="0.25">
      <c r="A105" s="167" t="s">
        <v>265</v>
      </c>
      <c r="B105" s="168">
        <v>1800</v>
      </c>
    </row>
    <row r="106" spans="1:2" x14ac:dyDescent="0.25">
      <c r="A106" s="165" t="s">
        <v>260</v>
      </c>
      <c r="B106" s="171">
        <v>2488.9899999999998</v>
      </c>
    </row>
    <row r="107" spans="1:2" x14ac:dyDescent="0.25">
      <c r="A107" s="167" t="s">
        <v>261</v>
      </c>
      <c r="B107" s="168">
        <v>2488.9899999999998</v>
      </c>
    </row>
    <row r="108" spans="1:2" x14ac:dyDescent="0.25">
      <c r="A108" s="165" t="s">
        <v>262</v>
      </c>
      <c r="B108" s="171">
        <v>22680</v>
      </c>
    </row>
    <row r="109" spans="1:2" x14ac:dyDescent="0.25">
      <c r="A109" s="167" t="s">
        <v>261</v>
      </c>
      <c r="B109" s="168">
        <v>22680</v>
      </c>
    </row>
    <row r="110" spans="1:2" x14ac:dyDescent="0.25">
      <c r="A110" s="165" t="s">
        <v>263</v>
      </c>
      <c r="B110" s="171">
        <v>58481</v>
      </c>
    </row>
    <row r="111" spans="1:2" x14ac:dyDescent="0.25">
      <c r="A111" s="167" t="s">
        <v>261</v>
      </c>
      <c r="B111" s="168">
        <v>58481</v>
      </c>
    </row>
    <row r="112" spans="1:2" x14ac:dyDescent="0.25">
      <c r="A112" s="173" t="s">
        <v>44</v>
      </c>
      <c r="B112" s="171">
        <f>B77+B82+B84+B87+B106+B108+B110</f>
        <v>273274.99</v>
      </c>
    </row>
  </sheetData>
  <mergeCells count="4">
    <mergeCell ref="A1:U1"/>
    <mergeCell ref="A51:N51"/>
    <mergeCell ref="A63:L63"/>
    <mergeCell ref="A74:C74"/>
  </mergeCells>
  <phoneticPr fontId="6" type="noConversion"/>
  <pageMargins left="0.7" right="0.7" top="0.75" bottom="0.75" header="0.3" footer="0.3"/>
  <pageSetup paperSize="9" scale="2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8"/>
  <sheetViews>
    <sheetView showGridLines="0" topLeftCell="A40" workbookViewId="0">
      <selection activeCell="G10" activeCellId="5" sqref="G52 G46 G41 G36 G28 G10"/>
    </sheetView>
  </sheetViews>
  <sheetFormatPr defaultRowHeight="15" x14ac:dyDescent="0.25"/>
  <cols>
    <col min="1" max="1" width="70.7109375" style="4" customWidth="1"/>
    <col min="2" max="2" width="15.7109375" style="117" customWidth="1"/>
    <col min="3" max="4" width="15.7109375" style="4" customWidth="1"/>
    <col min="5" max="5" width="18.7109375" style="4" customWidth="1"/>
    <col min="6" max="7" width="15.7109375" style="4" customWidth="1"/>
    <col min="8" max="16384" width="9.140625" style="4"/>
  </cols>
  <sheetData>
    <row r="1" spans="1:19" ht="18.75" x14ac:dyDescent="0.25">
      <c r="A1" s="180" t="s">
        <v>302</v>
      </c>
      <c r="B1" s="181"/>
      <c r="C1" s="181"/>
      <c r="D1" s="181"/>
      <c r="E1" s="181"/>
      <c r="F1" s="181"/>
      <c r="G1" s="181"/>
    </row>
    <row r="2" spans="1:19" x14ac:dyDescent="0.25">
      <c r="A2" s="35"/>
    </row>
    <row r="3" spans="1:19" s="151" customFormat="1" ht="60" customHeight="1" x14ac:dyDescent="0.25">
      <c r="A3" s="150" t="s">
        <v>203</v>
      </c>
      <c r="B3" s="36" t="s">
        <v>99</v>
      </c>
      <c r="C3" s="36" t="s">
        <v>187</v>
      </c>
      <c r="D3" s="36" t="s">
        <v>298</v>
      </c>
      <c r="E3" s="36" t="s">
        <v>297</v>
      </c>
      <c r="F3" s="36" t="s">
        <v>299</v>
      </c>
      <c r="G3" s="37" t="s">
        <v>163</v>
      </c>
    </row>
    <row r="4" spans="1:19" x14ac:dyDescent="0.25">
      <c r="A4" s="38" t="s">
        <v>164</v>
      </c>
      <c r="B4" s="39">
        <f>SUM(B5:B7)</f>
        <v>124000</v>
      </c>
      <c r="C4" s="39">
        <f>SUM(C5:C7)</f>
        <v>124000</v>
      </c>
      <c r="D4" s="39">
        <f t="shared" ref="D4:G4" si="0">SUM(D5:D7)</f>
        <v>117806.5</v>
      </c>
      <c r="E4" s="39">
        <f t="shared" ref="E4:E55" si="1">C4-D4</f>
        <v>6193.5</v>
      </c>
      <c r="F4" s="40">
        <f t="shared" ref="F4:F55" si="2">D4/C4</f>
        <v>0.95005241935483875</v>
      </c>
      <c r="G4" s="41">
        <f t="shared" si="0"/>
        <v>0</v>
      </c>
      <c r="P4" s="108"/>
      <c r="Q4" s="108"/>
      <c r="S4" s="108"/>
    </row>
    <row r="5" spans="1:19" ht="30" customHeight="1" x14ac:dyDescent="0.25">
      <c r="A5" s="42" t="s">
        <v>205</v>
      </c>
      <c r="B5" s="43">
        <v>2000</v>
      </c>
      <c r="C5" s="43">
        <v>2000</v>
      </c>
      <c r="D5" s="43">
        <v>0</v>
      </c>
      <c r="E5" s="44">
        <f t="shared" si="1"/>
        <v>2000</v>
      </c>
      <c r="F5" s="45">
        <f t="shared" si="2"/>
        <v>0</v>
      </c>
      <c r="G5" s="46">
        <v>0</v>
      </c>
      <c r="P5" s="108"/>
      <c r="Q5" s="108"/>
      <c r="S5" s="108"/>
    </row>
    <row r="6" spans="1:19" ht="30" customHeight="1" x14ac:dyDescent="0.25">
      <c r="A6" s="42" t="s">
        <v>206</v>
      </c>
      <c r="B6" s="43">
        <v>2000</v>
      </c>
      <c r="C6" s="43">
        <v>2000</v>
      </c>
      <c r="D6" s="43">
        <v>0</v>
      </c>
      <c r="E6" s="44">
        <f t="shared" si="1"/>
        <v>2000</v>
      </c>
      <c r="F6" s="45">
        <f t="shared" si="2"/>
        <v>0</v>
      </c>
      <c r="G6" s="46">
        <v>0</v>
      </c>
      <c r="P6" s="108"/>
      <c r="Q6" s="108"/>
      <c r="S6" s="108"/>
    </row>
    <row r="7" spans="1:19" ht="30" customHeight="1" x14ac:dyDescent="0.25">
      <c r="A7" s="42" t="s">
        <v>207</v>
      </c>
      <c r="B7" s="43">
        <v>120000</v>
      </c>
      <c r="C7" s="43">
        <v>120000</v>
      </c>
      <c r="D7" s="43">
        <v>117806.5</v>
      </c>
      <c r="E7" s="44">
        <f t="shared" si="1"/>
        <v>2193.5</v>
      </c>
      <c r="F7" s="45">
        <f t="shared" si="2"/>
        <v>0.98172083333333338</v>
      </c>
      <c r="G7" s="46">
        <v>0</v>
      </c>
      <c r="P7" s="108"/>
      <c r="Q7" s="108"/>
      <c r="S7" s="108"/>
    </row>
    <row r="8" spans="1:19" x14ac:dyDescent="0.25">
      <c r="A8" s="38" t="s">
        <v>165</v>
      </c>
      <c r="B8" s="39">
        <f>SUM(B9:B9)</f>
        <v>150000</v>
      </c>
      <c r="C8" s="39">
        <f>SUM(C9:C9)</f>
        <v>150000</v>
      </c>
      <c r="D8" s="39">
        <f t="shared" ref="D8:G8" si="3">SUM(D9:D9)</f>
        <v>27706.3</v>
      </c>
      <c r="E8" s="39">
        <f t="shared" si="1"/>
        <v>122293.7</v>
      </c>
      <c r="F8" s="40">
        <f t="shared" si="2"/>
        <v>0.18470866666666666</v>
      </c>
      <c r="G8" s="41">
        <f t="shared" si="3"/>
        <v>0</v>
      </c>
      <c r="P8" s="108"/>
      <c r="Q8" s="108"/>
      <c r="S8" s="108"/>
    </row>
    <row r="9" spans="1:19" ht="30" customHeight="1" x14ac:dyDescent="0.25">
      <c r="A9" s="42" t="s">
        <v>208</v>
      </c>
      <c r="B9" s="43">
        <v>150000</v>
      </c>
      <c r="C9" s="43">
        <v>150000</v>
      </c>
      <c r="D9" s="43">
        <v>27706.3</v>
      </c>
      <c r="E9" s="44">
        <f t="shared" si="1"/>
        <v>122293.7</v>
      </c>
      <c r="F9" s="45">
        <f t="shared" si="2"/>
        <v>0.18470866666666666</v>
      </c>
      <c r="G9" s="46">
        <v>0</v>
      </c>
      <c r="P9" s="108"/>
      <c r="Q9" s="108"/>
      <c r="S9" s="108"/>
    </row>
    <row r="10" spans="1:19" x14ac:dyDescent="0.25">
      <c r="A10" s="38" t="s">
        <v>166</v>
      </c>
      <c r="B10" s="39">
        <f>SUM(B11:B21)</f>
        <v>666311</v>
      </c>
      <c r="C10" s="39">
        <f>SUM(C11:C21)</f>
        <v>666311</v>
      </c>
      <c r="D10" s="39">
        <f>SUM(D11:D21)</f>
        <v>202942.85</v>
      </c>
      <c r="E10" s="39">
        <f t="shared" si="1"/>
        <v>463368.15</v>
      </c>
      <c r="F10" s="40">
        <f t="shared" si="2"/>
        <v>0.30457676670503714</v>
      </c>
      <c r="G10" s="41">
        <f>SUM(G11:G21)</f>
        <v>49348.06</v>
      </c>
      <c r="P10" s="108"/>
      <c r="Q10" s="108"/>
      <c r="S10" s="108"/>
    </row>
    <row r="11" spans="1:19" ht="30" customHeight="1" x14ac:dyDescent="0.25">
      <c r="A11" s="42" t="s">
        <v>209</v>
      </c>
      <c r="B11" s="43">
        <v>36000</v>
      </c>
      <c r="C11" s="43">
        <v>36000</v>
      </c>
      <c r="D11" s="43">
        <v>0</v>
      </c>
      <c r="E11" s="44">
        <f t="shared" si="1"/>
        <v>36000</v>
      </c>
      <c r="F11" s="45">
        <f t="shared" si="2"/>
        <v>0</v>
      </c>
      <c r="G11" s="46">
        <v>0</v>
      </c>
      <c r="P11" s="108"/>
      <c r="Q11" s="108"/>
      <c r="S11" s="108"/>
    </row>
    <row r="12" spans="1:19" ht="30" customHeight="1" x14ac:dyDescent="0.25">
      <c r="A12" s="42" t="s">
        <v>210</v>
      </c>
      <c r="B12" s="43">
        <v>2000</v>
      </c>
      <c r="C12" s="43">
        <v>2000</v>
      </c>
      <c r="D12" s="43">
        <v>0</v>
      </c>
      <c r="E12" s="44">
        <f t="shared" si="1"/>
        <v>2000</v>
      </c>
      <c r="F12" s="45">
        <f t="shared" si="2"/>
        <v>0</v>
      </c>
      <c r="G12" s="46">
        <v>0</v>
      </c>
      <c r="S12" s="108"/>
    </row>
    <row r="13" spans="1:19" ht="30" customHeight="1" x14ac:dyDescent="0.25">
      <c r="A13" s="42" t="s">
        <v>211</v>
      </c>
      <c r="B13" s="43">
        <v>2000</v>
      </c>
      <c r="C13" s="43">
        <v>2000</v>
      </c>
      <c r="D13" s="107">
        <v>0</v>
      </c>
      <c r="E13" s="44">
        <f t="shared" si="1"/>
        <v>2000</v>
      </c>
      <c r="F13" s="45">
        <f t="shared" si="2"/>
        <v>0</v>
      </c>
      <c r="G13" s="46">
        <v>0</v>
      </c>
      <c r="P13" s="108"/>
      <c r="Q13" s="108"/>
      <c r="S13" s="108"/>
    </row>
    <row r="14" spans="1:19" ht="30" customHeight="1" x14ac:dyDescent="0.25">
      <c r="A14" s="42" t="s">
        <v>212</v>
      </c>
      <c r="B14" s="43">
        <v>2311</v>
      </c>
      <c r="C14" s="43">
        <v>2311</v>
      </c>
      <c r="D14" s="43">
        <v>0</v>
      </c>
      <c r="E14" s="44">
        <f t="shared" si="1"/>
        <v>2311</v>
      </c>
      <c r="F14" s="45">
        <f t="shared" si="2"/>
        <v>0</v>
      </c>
      <c r="G14" s="46">
        <v>0</v>
      </c>
      <c r="P14" s="108"/>
      <c r="Q14" s="108"/>
      <c r="S14" s="108"/>
    </row>
    <row r="15" spans="1:19" ht="30" customHeight="1" x14ac:dyDescent="0.25">
      <c r="A15" s="42" t="s">
        <v>213</v>
      </c>
      <c r="B15" s="43">
        <v>100000</v>
      </c>
      <c r="C15" s="43">
        <v>100000</v>
      </c>
      <c r="D15" s="43">
        <v>49059.95</v>
      </c>
      <c r="E15" s="44">
        <f t="shared" si="1"/>
        <v>50940.05</v>
      </c>
      <c r="F15" s="45">
        <f t="shared" si="2"/>
        <v>0.49059949999999997</v>
      </c>
      <c r="G15" s="46">
        <v>0</v>
      </c>
      <c r="P15" s="108"/>
      <c r="Q15" s="108"/>
      <c r="S15" s="108"/>
    </row>
    <row r="16" spans="1:19" ht="30" customHeight="1" x14ac:dyDescent="0.25">
      <c r="A16" s="42" t="s">
        <v>214</v>
      </c>
      <c r="B16" s="43">
        <v>100000</v>
      </c>
      <c r="C16" s="43">
        <v>100000</v>
      </c>
      <c r="D16" s="43">
        <v>57156.05</v>
      </c>
      <c r="E16" s="44">
        <f t="shared" si="1"/>
        <v>42843.95</v>
      </c>
      <c r="F16" s="45">
        <f t="shared" si="2"/>
        <v>0.57156050000000003</v>
      </c>
      <c r="G16" s="46">
        <v>0</v>
      </c>
      <c r="P16" s="108"/>
      <c r="Q16" s="108"/>
      <c r="S16" s="108"/>
    </row>
    <row r="17" spans="1:19" ht="30" customHeight="1" x14ac:dyDescent="0.25">
      <c r="A17" s="42" t="s">
        <v>215</v>
      </c>
      <c r="B17" s="43">
        <v>70000</v>
      </c>
      <c r="C17" s="43">
        <v>70000</v>
      </c>
      <c r="D17" s="43">
        <v>49348.06</v>
      </c>
      <c r="E17" s="44">
        <f t="shared" si="1"/>
        <v>20651.940000000002</v>
      </c>
      <c r="F17" s="45">
        <f t="shared" si="2"/>
        <v>0.70497228571428572</v>
      </c>
      <c r="G17" s="46">
        <v>49348.06</v>
      </c>
      <c r="P17" s="108"/>
      <c r="Q17" s="108"/>
      <c r="S17" s="108"/>
    </row>
    <row r="18" spans="1:19" ht="30" customHeight="1" x14ac:dyDescent="0.25">
      <c r="A18" s="42" t="s">
        <v>216</v>
      </c>
      <c r="B18" s="43">
        <v>150000</v>
      </c>
      <c r="C18" s="43">
        <v>150000</v>
      </c>
      <c r="D18" s="43">
        <v>24225.54</v>
      </c>
      <c r="E18" s="44">
        <f t="shared" si="1"/>
        <v>125774.45999999999</v>
      </c>
      <c r="F18" s="45">
        <f t="shared" si="2"/>
        <v>0.1615036</v>
      </c>
      <c r="G18" s="46">
        <v>0</v>
      </c>
      <c r="P18" s="108"/>
      <c r="Q18" s="108"/>
      <c r="S18" s="108"/>
    </row>
    <row r="19" spans="1:19" ht="30" customHeight="1" x14ac:dyDescent="0.25">
      <c r="A19" s="42" t="s">
        <v>217</v>
      </c>
      <c r="B19" s="43">
        <v>2000</v>
      </c>
      <c r="C19" s="43">
        <v>2000</v>
      </c>
      <c r="D19" s="43">
        <v>0</v>
      </c>
      <c r="E19" s="44">
        <f t="shared" si="1"/>
        <v>2000</v>
      </c>
      <c r="F19" s="45">
        <f t="shared" si="2"/>
        <v>0</v>
      </c>
      <c r="G19" s="46">
        <v>0</v>
      </c>
      <c r="P19" s="108"/>
      <c r="Q19" s="108"/>
      <c r="S19" s="108"/>
    </row>
    <row r="20" spans="1:19" ht="30" customHeight="1" x14ac:dyDescent="0.25">
      <c r="A20" s="42" t="s">
        <v>218</v>
      </c>
      <c r="B20" s="43">
        <v>150000</v>
      </c>
      <c r="C20" s="43">
        <v>150000</v>
      </c>
      <c r="D20" s="43">
        <v>0</v>
      </c>
      <c r="E20" s="44">
        <f t="shared" si="1"/>
        <v>150000</v>
      </c>
      <c r="F20" s="45">
        <f t="shared" si="2"/>
        <v>0</v>
      </c>
      <c r="G20" s="46">
        <v>0</v>
      </c>
      <c r="P20" s="108"/>
      <c r="Q20" s="108"/>
      <c r="S20" s="108"/>
    </row>
    <row r="21" spans="1:19" ht="30" customHeight="1" x14ac:dyDescent="0.25">
      <c r="A21" s="42" t="s">
        <v>219</v>
      </c>
      <c r="B21" s="43">
        <v>52000</v>
      </c>
      <c r="C21" s="43">
        <v>52000</v>
      </c>
      <c r="D21" s="43">
        <v>23153.25</v>
      </c>
      <c r="E21" s="44">
        <f t="shared" si="1"/>
        <v>28846.75</v>
      </c>
      <c r="F21" s="45">
        <f t="shared" si="2"/>
        <v>0.44525480769230769</v>
      </c>
      <c r="G21" s="46">
        <v>0</v>
      </c>
      <c r="P21" s="108"/>
      <c r="Q21" s="108"/>
      <c r="S21" s="108"/>
    </row>
    <row r="22" spans="1:19" x14ac:dyDescent="0.25">
      <c r="A22" s="38" t="s">
        <v>167</v>
      </c>
      <c r="B22" s="39">
        <f>SUM(B23:B24)</f>
        <v>80000</v>
      </c>
      <c r="C22" s="39">
        <f>SUM(C23:C24)</f>
        <v>80000</v>
      </c>
      <c r="D22" s="39">
        <f t="shared" ref="D22:G22" si="4">SUM(D23:D24)</f>
        <v>0</v>
      </c>
      <c r="E22" s="39">
        <f t="shared" si="1"/>
        <v>80000</v>
      </c>
      <c r="F22" s="40">
        <f t="shared" si="2"/>
        <v>0</v>
      </c>
      <c r="G22" s="41">
        <f t="shared" si="4"/>
        <v>0</v>
      </c>
      <c r="P22" s="108"/>
      <c r="Q22" s="108"/>
      <c r="S22" s="108"/>
    </row>
    <row r="23" spans="1:19" ht="30" customHeight="1" x14ac:dyDescent="0.25">
      <c r="A23" s="42" t="s">
        <v>220</v>
      </c>
      <c r="B23" s="43">
        <v>50000</v>
      </c>
      <c r="C23" s="43">
        <v>50000</v>
      </c>
      <c r="D23" s="43">
        <v>0</v>
      </c>
      <c r="E23" s="44">
        <f t="shared" si="1"/>
        <v>50000</v>
      </c>
      <c r="F23" s="45">
        <f t="shared" si="2"/>
        <v>0</v>
      </c>
      <c r="G23" s="46">
        <v>0</v>
      </c>
      <c r="P23" s="108"/>
      <c r="Q23" s="108"/>
      <c r="S23" s="108"/>
    </row>
    <row r="24" spans="1:19" ht="30" customHeight="1" x14ac:dyDescent="0.25">
      <c r="A24" s="42" t="s">
        <v>221</v>
      </c>
      <c r="B24" s="43">
        <v>30000</v>
      </c>
      <c r="C24" s="43">
        <v>30000</v>
      </c>
      <c r="D24" s="43">
        <v>0</v>
      </c>
      <c r="E24" s="44">
        <f t="shared" si="1"/>
        <v>30000</v>
      </c>
      <c r="F24" s="45">
        <f t="shared" si="2"/>
        <v>0</v>
      </c>
      <c r="G24" s="46">
        <v>0</v>
      </c>
      <c r="P24" s="108"/>
      <c r="Q24" s="108"/>
      <c r="S24" s="108"/>
    </row>
    <row r="25" spans="1:19" x14ac:dyDescent="0.25">
      <c r="A25" s="38" t="s">
        <v>168</v>
      </c>
      <c r="B25" s="39">
        <f>SUM(B26:B27)</f>
        <v>105000</v>
      </c>
      <c r="C25" s="39">
        <f>SUM(C26:C27)</f>
        <v>105000</v>
      </c>
      <c r="D25" s="39">
        <f>SUM(D26:D27)</f>
        <v>21995.32</v>
      </c>
      <c r="E25" s="39">
        <f t="shared" si="1"/>
        <v>83004.679999999993</v>
      </c>
      <c r="F25" s="40">
        <f t="shared" si="2"/>
        <v>0.20947923809523808</v>
      </c>
      <c r="G25" s="41">
        <f t="shared" ref="G25" si="5">SUM(G26:G27)</f>
        <v>0</v>
      </c>
      <c r="P25" s="108"/>
      <c r="Q25" s="108"/>
      <c r="S25" s="108"/>
    </row>
    <row r="26" spans="1:19" ht="30" customHeight="1" x14ac:dyDescent="0.25">
      <c r="A26" s="42" t="s">
        <v>222</v>
      </c>
      <c r="B26" s="43">
        <v>80000</v>
      </c>
      <c r="C26" s="43">
        <v>80000</v>
      </c>
      <c r="D26" s="43">
        <v>0</v>
      </c>
      <c r="E26" s="44">
        <f t="shared" si="1"/>
        <v>80000</v>
      </c>
      <c r="F26" s="45">
        <f t="shared" si="2"/>
        <v>0</v>
      </c>
      <c r="G26" s="46">
        <v>0</v>
      </c>
      <c r="P26" s="108"/>
      <c r="Q26" s="108"/>
      <c r="S26" s="108"/>
    </row>
    <row r="27" spans="1:19" ht="30" customHeight="1" x14ac:dyDescent="0.25">
      <c r="A27" s="42" t="s">
        <v>223</v>
      </c>
      <c r="B27" s="43">
        <v>25000</v>
      </c>
      <c r="C27" s="43">
        <v>25000</v>
      </c>
      <c r="D27" s="43">
        <v>21995.32</v>
      </c>
      <c r="E27" s="44">
        <f t="shared" si="1"/>
        <v>3004.6800000000003</v>
      </c>
      <c r="F27" s="45">
        <f t="shared" si="2"/>
        <v>0.87981279999999995</v>
      </c>
      <c r="G27" s="46">
        <v>0</v>
      </c>
      <c r="P27" s="108"/>
      <c r="Q27" s="108"/>
      <c r="S27" s="108"/>
    </row>
    <row r="28" spans="1:19" x14ac:dyDescent="0.25">
      <c r="A28" s="38" t="s">
        <v>169</v>
      </c>
      <c r="B28" s="39">
        <f>SUM(B29:B35)</f>
        <v>912000</v>
      </c>
      <c r="C28" s="39">
        <f>SUM(C29:C35)</f>
        <v>912000</v>
      </c>
      <c r="D28" s="39">
        <f>SUM(D29:D35)</f>
        <v>282055.7</v>
      </c>
      <c r="E28" s="39">
        <f t="shared" si="1"/>
        <v>629944.30000000005</v>
      </c>
      <c r="F28" s="40">
        <f t="shared" si="2"/>
        <v>0.30927160087719302</v>
      </c>
      <c r="G28" s="41">
        <f>SUM(G29:G35)</f>
        <v>150000</v>
      </c>
      <c r="P28" s="108"/>
      <c r="Q28" s="108"/>
      <c r="S28" s="108"/>
    </row>
    <row r="29" spans="1:19" ht="30" customHeight="1" x14ac:dyDescent="0.25">
      <c r="A29" s="42" t="s">
        <v>224</v>
      </c>
      <c r="B29" s="43">
        <v>200000</v>
      </c>
      <c r="C29" s="43">
        <v>200000</v>
      </c>
      <c r="D29" s="43">
        <v>150000</v>
      </c>
      <c r="E29" s="44">
        <f t="shared" si="1"/>
        <v>50000</v>
      </c>
      <c r="F29" s="45">
        <f t="shared" si="2"/>
        <v>0.75</v>
      </c>
      <c r="G29" s="46">
        <v>150000</v>
      </c>
      <c r="P29" s="108"/>
      <c r="Q29" s="108"/>
      <c r="S29" s="108"/>
    </row>
    <row r="30" spans="1:19" ht="30" customHeight="1" x14ac:dyDescent="0.25">
      <c r="A30" s="42" t="s">
        <v>225</v>
      </c>
      <c r="B30" s="43">
        <v>150000</v>
      </c>
      <c r="C30" s="43">
        <f>150000</f>
        <v>150000</v>
      </c>
      <c r="D30" s="43">
        <v>18277.63</v>
      </c>
      <c r="E30" s="44">
        <f t="shared" si="1"/>
        <v>131722.37</v>
      </c>
      <c r="F30" s="45">
        <f t="shared" si="2"/>
        <v>0.12185086666666667</v>
      </c>
      <c r="G30" s="46">
        <v>0</v>
      </c>
      <c r="P30" s="108"/>
      <c r="Q30" s="108"/>
      <c r="S30" s="108"/>
    </row>
    <row r="31" spans="1:19" ht="30" customHeight="1" x14ac:dyDescent="0.25">
      <c r="A31" s="42" t="s">
        <v>226</v>
      </c>
      <c r="B31" s="43">
        <v>300000</v>
      </c>
      <c r="C31" s="43">
        <v>300000</v>
      </c>
      <c r="D31" s="43">
        <v>113778.07</v>
      </c>
      <c r="E31" s="44">
        <f t="shared" si="1"/>
        <v>186221.93</v>
      </c>
      <c r="F31" s="45">
        <f t="shared" si="2"/>
        <v>0.37926023333333336</v>
      </c>
      <c r="G31" s="46">
        <v>0</v>
      </c>
      <c r="P31" s="108"/>
      <c r="Q31" s="108"/>
      <c r="S31" s="108"/>
    </row>
    <row r="32" spans="1:19" ht="30" customHeight="1" x14ac:dyDescent="0.25">
      <c r="A32" s="42" t="s">
        <v>227</v>
      </c>
      <c r="B32" s="43">
        <v>2000</v>
      </c>
      <c r="C32" s="43">
        <v>2000</v>
      </c>
      <c r="D32" s="43">
        <v>0</v>
      </c>
      <c r="E32" s="44">
        <f t="shared" si="1"/>
        <v>2000</v>
      </c>
      <c r="F32" s="45">
        <f t="shared" si="2"/>
        <v>0</v>
      </c>
      <c r="G32" s="46">
        <v>0</v>
      </c>
      <c r="P32" s="108"/>
      <c r="Q32" s="108"/>
      <c r="S32" s="108"/>
    </row>
    <row r="33" spans="1:19" ht="30" customHeight="1" x14ac:dyDescent="0.25">
      <c r="A33" s="42" t="s">
        <v>228</v>
      </c>
      <c r="B33" s="107">
        <v>100000</v>
      </c>
      <c r="C33" s="107">
        <v>100000</v>
      </c>
      <c r="D33" s="107">
        <v>0</v>
      </c>
      <c r="E33" s="113">
        <f t="shared" si="1"/>
        <v>100000</v>
      </c>
      <c r="F33" s="114">
        <f t="shared" si="2"/>
        <v>0</v>
      </c>
      <c r="G33" s="115">
        <v>0</v>
      </c>
      <c r="H33" s="108"/>
      <c r="I33" s="108"/>
      <c r="J33" s="108"/>
      <c r="K33" s="108"/>
      <c r="L33" s="108"/>
      <c r="M33" s="108"/>
      <c r="N33" s="108"/>
      <c r="O33" s="108"/>
      <c r="P33" s="108"/>
      <c r="R33" s="108"/>
      <c r="S33" s="108"/>
    </row>
    <row r="34" spans="1:19" ht="30" customHeight="1" x14ac:dyDescent="0.25">
      <c r="A34" s="42" t="s">
        <v>229</v>
      </c>
      <c r="B34" s="107">
        <v>65000</v>
      </c>
      <c r="C34" s="107">
        <v>65000</v>
      </c>
      <c r="D34" s="107">
        <v>0</v>
      </c>
      <c r="E34" s="113">
        <f t="shared" si="1"/>
        <v>65000</v>
      </c>
      <c r="F34" s="114">
        <f t="shared" si="2"/>
        <v>0</v>
      </c>
      <c r="G34" s="115">
        <v>0</v>
      </c>
      <c r="H34" s="108"/>
      <c r="I34" s="108"/>
      <c r="J34" s="108"/>
      <c r="K34" s="108"/>
      <c r="L34" s="108"/>
      <c r="M34" s="108"/>
      <c r="N34" s="108"/>
      <c r="O34" s="108"/>
      <c r="P34" s="108"/>
    </row>
    <row r="35" spans="1:19" ht="30" customHeight="1" x14ac:dyDescent="0.25">
      <c r="A35" s="42" t="s">
        <v>230</v>
      </c>
      <c r="B35" s="43">
        <v>95000</v>
      </c>
      <c r="C35" s="43">
        <v>95000</v>
      </c>
      <c r="D35" s="43">
        <v>0</v>
      </c>
      <c r="E35" s="44">
        <f t="shared" si="1"/>
        <v>95000</v>
      </c>
      <c r="F35" s="45">
        <f t="shared" si="2"/>
        <v>0</v>
      </c>
      <c r="G35" s="46">
        <v>0</v>
      </c>
    </row>
    <row r="36" spans="1:19" x14ac:dyDescent="0.25">
      <c r="A36" s="38" t="s">
        <v>170</v>
      </c>
      <c r="B36" s="39">
        <f>SUM(B37:B40)</f>
        <v>150000</v>
      </c>
      <c r="C36" s="39">
        <f>SUM(C37:C40)</f>
        <v>150000</v>
      </c>
      <c r="D36" s="39">
        <f t="shared" ref="D36:G36" si="6">SUM(D37:D40)</f>
        <v>46834.080000000002</v>
      </c>
      <c r="E36" s="39">
        <f t="shared" si="1"/>
        <v>103165.92</v>
      </c>
      <c r="F36" s="40">
        <f t="shared" si="2"/>
        <v>0.31222720000000004</v>
      </c>
      <c r="G36" s="41">
        <f t="shared" si="6"/>
        <v>46834.080000000002</v>
      </c>
    </row>
    <row r="37" spans="1:19" ht="30" customHeight="1" x14ac:dyDescent="0.25">
      <c r="A37" s="42" t="s">
        <v>231</v>
      </c>
      <c r="B37" s="43">
        <v>35000</v>
      </c>
      <c r="C37" s="43">
        <v>35000</v>
      </c>
      <c r="D37" s="43">
        <v>0</v>
      </c>
      <c r="E37" s="44">
        <f t="shared" si="1"/>
        <v>35000</v>
      </c>
      <c r="F37" s="45">
        <f t="shared" si="2"/>
        <v>0</v>
      </c>
      <c r="G37" s="46">
        <v>0</v>
      </c>
    </row>
    <row r="38" spans="1:19" ht="30" customHeight="1" x14ac:dyDescent="0.25">
      <c r="A38" s="42" t="s">
        <v>232</v>
      </c>
      <c r="B38" s="43">
        <v>60000</v>
      </c>
      <c r="C38" s="43">
        <v>60000</v>
      </c>
      <c r="D38" s="43">
        <v>46834.080000000002</v>
      </c>
      <c r="E38" s="44">
        <f t="shared" si="1"/>
        <v>13165.919999999998</v>
      </c>
      <c r="F38" s="45">
        <f t="shared" si="2"/>
        <v>0.78056800000000004</v>
      </c>
      <c r="G38" s="46">
        <v>46834.080000000002</v>
      </c>
    </row>
    <row r="39" spans="1:19" ht="30" customHeight="1" x14ac:dyDescent="0.25">
      <c r="A39" s="42" t="s">
        <v>233</v>
      </c>
      <c r="B39" s="43">
        <v>5000</v>
      </c>
      <c r="C39" s="43">
        <f>5000</f>
        <v>5000</v>
      </c>
      <c r="D39" s="43">
        <v>0</v>
      </c>
      <c r="E39" s="44">
        <f t="shared" si="1"/>
        <v>5000</v>
      </c>
      <c r="F39" s="45">
        <f t="shared" si="2"/>
        <v>0</v>
      </c>
      <c r="G39" s="46">
        <v>0</v>
      </c>
    </row>
    <row r="40" spans="1:19" ht="30" customHeight="1" x14ac:dyDescent="0.25">
      <c r="A40" s="42" t="s">
        <v>234</v>
      </c>
      <c r="B40" s="43">
        <v>50000</v>
      </c>
      <c r="C40" s="43">
        <v>50000</v>
      </c>
      <c r="D40" s="43">
        <v>0</v>
      </c>
      <c r="E40" s="44">
        <f t="shared" si="1"/>
        <v>50000</v>
      </c>
      <c r="F40" s="45">
        <f t="shared" si="2"/>
        <v>0</v>
      </c>
      <c r="G40" s="46">
        <v>0</v>
      </c>
    </row>
    <row r="41" spans="1:19" x14ac:dyDescent="0.25">
      <c r="A41" s="38" t="s">
        <v>171</v>
      </c>
      <c r="B41" s="39">
        <f>SUM(B42:B42)</f>
        <v>150000</v>
      </c>
      <c r="C41" s="39">
        <f>SUM(C42:C42)</f>
        <v>150000</v>
      </c>
      <c r="D41" s="39">
        <f t="shared" ref="D41:G41" si="7">SUM(D42:D42)</f>
        <v>69955</v>
      </c>
      <c r="E41" s="39">
        <f t="shared" si="1"/>
        <v>80045</v>
      </c>
      <c r="F41" s="40">
        <f t="shared" si="2"/>
        <v>0.46636666666666665</v>
      </c>
      <c r="G41" s="41">
        <f t="shared" si="7"/>
        <v>69955</v>
      </c>
    </row>
    <row r="42" spans="1:19" ht="30" customHeight="1" x14ac:dyDescent="0.25">
      <c r="A42" s="42" t="s">
        <v>235</v>
      </c>
      <c r="B42" s="43">
        <v>150000</v>
      </c>
      <c r="C42" s="43">
        <v>150000</v>
      </c>
      <c r="D42" s="43">
        <v>69955</v>
      </c>
      <c r="E42" s="44">
        <f t="shared" si="1"/>
        <v>80045</v>
      </c>
      <c r="F42" s="45">
        <f t="shared" si="2"/>
        <v>0.46636666666666665</v>
      </c>
      <c r="G42" s="178">
        <v>69955</v>
      </c>
    </row>
    <row r="43" spans="1:19" x14ac:dyDescent="0.25">
      <c r="A43" s="38" t="s">
        <v>172</v>
      </c>
      <c r="B43" s="39">
        <f>SUM(B44:B45)</f>
        <v>300000</v>
      </c>
      <c r="C43" s="39">
        <f>SUM(C44:C45)</f>
        <v>300000</v>
      </c>
      <c r="D43" s="39">
        <f t="shared" ref="D43:G43" si="8">SUM(D44:D45)</f>
        <v>0</v>
      </c>
      <c r="E43" s="39">
        <f t="shared" si="1"/>
        <v>300000</v>
      </c>
      <c r="F43" s="40">
        <f t="shared" si="2"/>
        <v>0</v>
      </c>
      <c r="G43" s="41">
        <f t="shared" si="8"/>
        <v>0</v>
      </c>
    </row>
    <row r="44" spans="1:19" ht="30" customHeight="1" x14ac:dyDescent="0.25">
      <c r="A44" s="42" t="s">
        <v>236</v>
      </c>
      <c r="B44" s="43">
        <v>150000</v>
      </c>
      <c r="C44" s="43">
        <v>150000</v>
      </c>
      <c r="D44" s="43">
        <v>0</v>
      </c>
      <c r="E44" s="44">
        <f t="shared" si="1"/>
        <v>150000</v>
      </c>
      <c r="F44" s="45">
        <f t="shared" si="2"/>
        <v>0</v>
      </c>
      <c r="G44" s="46">
        <v>0</v>
      </c>
    </row>
    <row r="45" spans="1:19" ht="30" customHeight="1" x14ac:dyDescent="0.25">
      <c r="A45" s="42" t="s">
        <v>237</v>
      </c>
      <c r="B45" s="43">
        <v>150000</v>
      </c>
      <c r="C45" s="43">
        <v>150000</v>
      </c>
      <c r="D45" s="43">
        <v>0</v>
      </c>
      <c r="E45" s="44">
        <f t="shared" si="1"/>
        <v>150000</v>
      </c>
      <c r="F45" s="45">
        <f t="shared" si="2"/>
        <v>0</v>
      </c>
      <c r="G45" s="46">
        <v>0</v>
      </c>
    </row>
    <row r="46" spans="1:19" x14ac:dyDescent="0.25">
      <c r="A46" s="38" t="s">
        <v>173</v>
      </c>
      <c r="B46" s="39">
        <f>SUM(B47:B51)</f>
        <v>530000</v>
      </c>
      <c r="C46" s="39">
        <f>SUM(C47:C51)</f>
        <v>530000</v>
      </c>
      <c r="D46" s="39">
        <f t="shared" ref="D46:G46" si="9">SUM(D47:D51)</f>
        <v>172382.59</v>
      </c>
      <c r="E46" s="39">
        <f t="shared" si="1"/>
        <v>357617.41000000003</v>
      </c>
      <c r="F46" s="40">
        <f t="shared" si="2"/>
        <v>0.32525016981132077</v>
      </c>
      <c r="G46" s="41">
        <f t="shared" si="9"/>
        <v>172382.59</v>
      </c>
    </row>
    <row r="47" spans="1:19" ht="30" customHeight="1" x14ac:dyDescent="0.25">
      <c r="A47" s="42" t="s">
        <v>238</v>
      </c>
      <c r="B47" s="43">
        <v>113693.39</v>
      </c>
      <c r="C47" s="43">
        <v>113693.39</v>
      </c>
      <c r="D47" s="43">
        <v>112794.49</v>
      </c>
      <c r="E47" s="44">
        <f t="shared" si="1"/>
        <v>898.89999999999418</v>
      </c>
      <c r="F47" s="45">
        <f t="shared" si="2"/>
        <v>0.99209364766060726</v>
      </c>
      <c r="G47" s="46">
        <v>112794.49</v>
      </c>
    </row>
    <row r="48" spans="1:19" ht="30" customHeight="1" x14ac:dyDescent="0.25">
      <c r="A48" s="42" t="s">
        <v>239</v>
      </c>
      <c r="B48" s="43">
        <v>286306.61</v>
      </c>
      <c r="C48" s="43">
        <v>286306.61</v>
      </c>
      <c r="D48" s="43">
        <v>0</v>
      </c>
      <c r="E48" s="44">
        <f t="shared" si="1"/>
        <v>286306.61</v>
      </c>
      <c r="F48" s="45">
        <f t="shared" si="2"/>
        <v>0</v>
      </c>
      <c r="G48" s="46">
        <v>0</v>
      </c>
    </row>
    <row r="49" spans="1:7" ht="30" customHeight="1" x14ac:dyDescent="0.25">
      <c r="A49" s="42" t="s">
        <v>240</v>
      </c>
      <c r="B49" s="43">
        <v>30000</v>
      </c>
      <c r="C49" s="43">
        <v>30000</v>
      </c>
      <c r="D49" s="43">
        <v>20000</v>
      </c>
      <c r="E49" s="44">
        <f t="shared" si="1"/>
        <v>10000</v>
      </c>
      <c r="F49" s="45">
        <f t="shared" si="2"/>
        <v>0.66666666666666663</v>
      </c>
      <c r="G49" s="46">
        <v>20000</v>
      </c>
    </row>
    <row r="50" spans="1:7" ht="30" customHeight="1" x14ac:dyDescent="0.25">
      <c r="A50" s="42" t="s">
        <v>241</v>
      </c>
      <c r="B50" s="43">
        <v>50000</v>
      </c>
      <c r="C50" s="43">
        <v>50000</v>
      </c>
      <c r="D50" s="43">
        <v>39588.1</v>
      </c>
      <c r="E50" s="44">
        <f t="shared" si="1"/>
        <v>10411.900000000001</v>
      </c>
      <c r="F50" s="45">
        <f t="shared" si="2"/>
        <v>0.79176199999999997</v>
      </c>
      <c r="G50" s="46">
        <v>39588.1</v>
      </c>
    </row>
    <row r="51" spans="1:7" ht="30" customHeight="1" x14ac:dyDescent="0.25">
      <c r="A51" s="42" t="s">
        <v>242</v>
      </c>
      <c r="B51" s="43">
        <v>50000</v>
      </c>
      <c r="C51" s="43">
        <v>50000</v>
      </c>
      <c r="D51" s="43">
        <v>0</v>
      </c>
      <c r="E51" s="44">
        <f t="shared" si="1"/>
        <v>50000</v>
      </c>
      <c r="F51" s="45">
        <f t="shared" si="2"/>
        <v>0</v>
      </c>
      <c r="G51" s="46">
        <v>0</v>
      </c>
    </row>
    <row r="52" spans="1:7" x14ac:dyDescent="0.25">
      <c r="A52" s="38" t="s">
        <v>174</v>
      </c>
      <c r="B52" s="39">
        <f>SUM(B53:B54)</f>
        <v>40000</v>
      </c>
      <c r="C52" s="39">
        <f>SUM(C53:C54)</f>
        <v>40000</v>
      </c>
      <c r="D52" s="39">
        <f t="shared" ref="D52:G52" si="10">SUM(D53:D54)</f>
        <v>15000</v>
      </c>
      <c r="E52" s="39">
        <f t="shared" si="1"/>
        <v>25000</v>
      </c>
      <c r="F52" s="40">
        <f t="shared" si="2"/>
        <v>0.375</v>
      </c>
      <c r="G52" s="41">
        <f t="shared" si="10"/>
        <v>15000</v>
      </c>
    </row>
    <row r="53" spans="1:7" ht="30" customHeight="1" x14ac:dyDescent="0.25">
      <c r="A53" s="42" t="s">
        <v>243</v>
      </c>
      <c r="B53" s="43">
        <v>20000</v>
      </c>
      <c r="C53" s="43">
        <v>20000</v>
      </c>
      <c r="D53" s="43">
        <v>0</v>
      </c>
      <c r="E53" s="44">
        <f t="shared" si="1"/>
        <v>20000</v>
      </c>
      <c r="F53" s="45">
        <f t="shared" si="2"/>
        <v>0</v>
      </c>
      <c r="G53" s="46">
        <v>0</v>
      </c>
    </row>
    <row r="54" spans="1:7" ht="30" customHeight="1" x14ac:dyDescent="0.25">
      <c r="A54" s="42" t="s">
        <v>244</v>
      </c>
      <c r="B54" s="43">
        <v>20000</v>
      </c>
      <c r="C54" s="43">
        <v>20000</v>
      </c>
      <c r="D54" s="43">
        <v>15000</v>
      </c>
      <c r="E54" s="44">
        <f t="shared" si="1"/>
        <v>5000</v>
      </c>
      <c r="F54" s="45">
        <f t="shared" si="2"/>
        <v>0.75</v>
      </c>
      <c r="G54" s="46">
        <v>15000</v>
      </c>
    </row>
    <row r="55" spans="1:7" s="156" customFormat="1" ht="15.75" x14ac:dyDescent="0.25">
      <c r="A55" s="152" t="s">
        <v>204</v>
      </c>
      <c r="B55" s="153">
        <f>B4+B8+B10+B22+B25+B28+B36+B41+B43+B46+B52</f>
        <v>3207311</v>
      </c>
      <c r="C55" s="153">
        <f>C4+C8+C10+C22+C25+C28+C36+C41+C43+C46+C52</f>
        <v>3207311</v>
      </c>
      <c r="D55" s="153">
        <f>D4+D8+D10+D22+D25+D28+D36+D41+D43+D46+D52</f>
        <v>956678.34</v>
      </c>
      <c r="E55" s="153">
        <f t="shared" si="1"/>
        <v>2250632.66</v>
      </c>
      <c r="F55" s="154">
        <f t="shared" si="2"/>
        <v>0.29828050351213209</v>
      </c>
      <c r="G55" s="155">
        <f>G4+G8+G10+G22+G25+G28+G36+G41+G43+G46+G52</f>
        <v>503519.73</v>
      </c>
    </row>
    <row r="58" spans="1:7" x14ac:dyDescent="0.25">
      <c r="B58" s="120"/>
    </row>
  </sheetData>
  <mergeCells count="1">
    <mergeCell ref="A1:G1"/>
  </mergeCells>
  <phoneticPr fontId="6" type="noConversion"/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Përmbledhje dhe shpenz. kateg.</vt:lpstr>
      <vt:lpstr>Të Hyrat Vetanake</vt:lpstr>
      <vt:lpstr>Të Hyrat Vetanake PB</vt:lpstr>
      <vt:lpstr>Buxheti 2026</vt:lpstr>
      <vt:lpstr>M &amp; SH, KOMUNALI, SUBV. &amp; TR. </vt:lpstr>
      <vt:lpstr>Investime kapitale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Valdrin Dogani</dc:creator>
  <cp:lastModifiedBy>Valdrin Dogani</cp:lastModifiedBy>
  <cp:lastPrinted>2026-07-14T17:45:43Z</cp:lastPrinted>
  <dcterms:created xsi:type="dcterms:W3CDTF">2026-07-10T12:42:36Z</dcterms:created>
  <dcterms:modified xsi:type="dcterms:W3CDTF">2026-07-16T12:08:37Z</dcterms:modified>
</cp:coreProperties>
</file>